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20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trina.darakjy/Desktop/"/>
    </mc:Choice>
  </mc:AlternateContent>
  <xr:revisionPtr revIDLastSave="0" documentId="8_{9EA25D0C-713B-F146-920E-D5F17A140745}" xr6:coauthVersionLast="47" xr6:coauthVersionMax="47" xr10:uidLastSave="{00000000-0000-0000-0000-000000000000}"/>
  <bookViews>
    <workbookView xWindow="-37580" yWindow="60" windowWidth="29040" windowHeight="15220" activeTab="4" xr2:uid="{F1679F02-D8E1-4B76-BFD5-9272731F1A25}"/>
    <workbookView xWindow="0" yWindow="760" windowWidth="30240" windowHeight="17180" firstSheet="2" activeTab="6" xr2:uid="{1246287A-D06F-4104-A7F2-62FCA7E4F223}"/>
  </bookViews>
  <sheets>
    <sheet name="Dashboard" sheetId="24" state="hidden" r:id="rId1"/>
    <sheet name=" Dean-Dept Course Reassign Rpt" sheetId="21" state="hidden" r:id="rId2"/>
    <sheet name="External Course Reassign Rpt" sheetId="57" state="hidden" r:id="rId3"/>
    <sheet name="3-3 Load Goal" sheetId="59" state="hidden" r:id="rId4"/>
    <sheet name="Anthropology" sheetId="2" r:id="rId5"/>
    <sheet name="Art" sheetId="29" r:id="rId6"/>
    <sheet name="Biology" sheetId="33" r:id="rId7"/>
    <sheet name="Black Studies" sheetId="42" r:id="rId8"/>
    <sheet name="Chemistry" sheetId="32" r:id="rId9"/>
    <sheet name="Chicano-A Studies" sheetId="35" r:id="rId10"/>
    <sheet name="Communication" sheetId="34" r:id="rId11"/>
    <sheet name="Comp Sci-Mechatronics Eng" sheetId="31" r:id="rId12"/>
    <sheet name="English" sheetId="36" r:id="rId13"/>
    <sheet name="ESRM" sheetId="37" r:id="rId14"/>
    <sheet name="Geology" sheetId="30" r:id="rId15"/>
    <sheet name="Global Languages" sheetId="38" r:id="rId16"/>
    <sheet name="Health Sciences" sheetId="41" r:id="rId17"/>
    <sheet name="Hist" sheetId="40" r:id="rId18"/>
    <sheet name="Math" sheetId="43" r:id="rId19"/>
    <sheet name="Nursing" sheetId="45" r:id="rId20"/>
    <sheet name="Philosophy" sheetId="44" r:id="rId21"/>
    <sheet name="Performing Arts" sheetId="46" r:id="rId22"/>
    <sheet name="Physics" sheetId="50" r:id="rId23"/>
    <sheet name="Political Sci-Glob Studies-MPA" sheetId="52" r:id="rId24"/>
    <sheet name="Psychology" sheetId="55" r:id="rId25"/>
    <sheet name="Sociology" sheetId="53" r:id="rId26"/>
    <sheet name="Overview" sheetId="1" r:id="rId27"/>
    <sheet name="Data Elements" sheetId="3" r:id="rId28"/>
    <sheet name="TTF list" sheetId="58" r:id="rId29"/>
    <sheet name="MPA" sheetId="63" r:id="rId30"/>
    <sheet name="Dance" sheetId="49" r:id="rId31"/>
    <sheet name="Physical Sciences" sheetId="51" r:id="rId32"/>
    <sheet name="Global Studies" sheetId="54" r:id="rId33"/>
    <sheet name="Mechatronics" sheetId="28" r:id="rId34"/>
    <sheet name="Music" sheetId="48" r:id="rId35"/>
    <sheet name="Spanish" sheetId="39" r:id="rId36"/>
    <sheet name="Theater Arts" sheetId="47" r:id="rId37"/>
    <sheet name="Sheet2" sheetId="62" r:id="rId38"/>
  </sheets>
  <externalReferences>
    <externalReference r:id="rId39"/>
    <externalReference r:id="rId40"/>
  </externalReferences>
  <definedNames>
    <definedName name="_xlnm._FilterDatabase" localSheetId="27" hidden="1">'Data Elements'!$A$2:$D$86</definedName>
    <definedName name="_xlnm._FilterDatabase" localSheetId="28" hidden="1">'TTF list'!$A$1:$M$195</definedName>
    <definedName name="Funding">[1]Sheet2!#REF!</definedName>
    <definedName name="Funding2">[2]Sheet2!#REF!</definedName>
    <definedName name="_xlnm.Print_Area" localSheetId="26">Overview!$A$1:$AE$36</definedName>
    <definedName name="Unit2">[2]Sheet2!$I$2:$I$20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1" i="1" l="1"/>
  <c r="E69" i="1"/>
  <c r="E68" i="1"/>
  <c r="E67" i="1"/>
  <c r="E64" i="1"/>
  <c r="E61" i="1"/>
  <c r="E59" i="1"/>
  <c r="E62" i="1" s="1"/>
  <c r="E65" i="1" s="1"/>
  <c r="F42" i="1"/>
  <c r="F50" i="1"/>
  <c r="F49" i="1"/>
  <c r="B90" i="45"/>
  <c r="B78" i="53"/>
  <c r="H51" i="33"/>
  <c r="E53" i="52"/>
  <c r="B48" i="42"/>
  <c r="B49" i="42"/>
  <c r="B50" i="42"/>
  <c r="B47" i="42"/>
  <c r="E54" i="52"/>
  <c r="D22" i="46"/>
  <c r="B37" i="29"/>
  <c r="M32" i="52"/>
  <c r="N32" i="52"/>
  <c r="O32" i="52"/>
  <c r="L32" i="52"/>
  <c r="B73" i="34"/>
  <c r="L69" i="2"/>
  <c r="B70" i="2"/>
  <c r="L72" i="34"/>
  <c r="J44" i="55"/>
  <c r="J44" i="40"/>
  <c r="J44" i="41"/>
  <c r="J44" i="38"/>
  <c r="J44" i="30"/>
  <c r="J43" i="31"/>
  <c r="J44" i="35"/>
  <c r="J44" i="42"/>
  <c r="E47" i="44"/>
  <c r="H47" i="46"/>
  <c r="H47" i="40"/>
  <c r="E47" i="30"/>
  <c r="H46" i="36"/>
  <c r="H46" i="31"/>
  <c r="E48" i="42"/>
  <c r="E47" i="42"/>
  <c r="E47" i="35"/>
  <c r="J44" i="44"/>
  <c r="C60" i="1"/>
  <c r="D60" i="1" s="1"/>
  <c r="C40" i="1"/>
  <c r="C42" i="1" l="1"/>
  <c r="H47" i="36" l="1"/>
  <c r="H47" i="31"/>
  <c r="H48" i="42"/>
  <c r="H58" i="29"/>
  <c r="D59" i="1"/>
  <c r="H43" i="36"/>
  <c r="I43" i="36"/>
  <c r="G43" i="36"/>
  <c r="E43" i="36"/>
  <c r="F43" i="36"/>
  <c r="D43" i="36"/>
  <c r="H48" i="52"/>
  <c r="H48" i="44"/>
  <c r="H47" i="44"/>
  <c r="H48" i="46"/>
  <c r="H48" i="40"/>
  <c r="H48" i="30"/>
  <c r="H47" i="30"/>
  <c r="H47" i="42"/>
  <c r="E48" i="52"/>
  <c r="E48" i="44"/>
  <c r="E48" i="46"/>
  <c r="E48" i="30"/>
  <c r="E48" i="35"/>
  <c r="M31" i="37"/>
  <c r="N31" i="37"/>
  <c r="L31" i="37"/>
  <c r="J43" i="36" l="1"/>
  <c r="I1" i="33"/>
  <c r="N4" i="1"/>
  <c r="F50" i="42"/>
  <c r="F52" i="42" s="1"/>
  <c r="H4" i="1"/>
  <c r="F58" i="2"/>
  <c r="H25" i="55"/>
  <c r="D44" i="35"/>
  <c r="E44" i="35"/>
  <c r="F44" i="35"/>
  <c r="O5" i="1"/>
  <c r="O6" i="1"/>
  <c r="O7" i="1"/>
  <c r="O4" i="1"/>
  <c r="O8" i="1"/>
  <c r="O9" i="1"/>
  <c r="O10" i="1"/>
  <c r="O11" i="1"/>
  <c r="O13" i="1"/>
  <c r="O14" i="1"/>
  <c r="O15" i="1"/>
  <c r="O16" i="1"/>
  <c r="O18" i="1"/>
  <c r="O19" i="1"/>
  <c r="O20" i="1"/>
  <c r="O21" i="1"/>
  <c r="O22" i="1"/>
  <c r="N9" i="1"/>
  <c r="D70" i="1" l="1"/>
  <c r="D47" i="1"/>
  <c r="C43" i="1"/>
  <c r="I36" i="1"/>
  <c r="J34" i="1"/>
  <c r="F4" i="1" l="1"/>
  <c r="B4" i="1" s="1"/>
  <c r="L4" i="1"/>
  <c r="AG4" i="1"/>
  <c r="L5" i="1"/>
  <c r="L7" i="1"/>
  <c r="J68" i="63"/>
  <c r="B68" i="63"/>
  <c r="H52" i="63"/>
  <c r="I44" i="63"/>
  <c r="H44" i="63"/>
  <c r="G44" i="63"/>
  <c r="F44" i="63"/>
  <c r="E44" i="63"/>
  <c r="D44" i="63"/>
  <c r="I37" i="63"/>
  <c r="H37" i="63"/>
  <c r="H48" i="63" s="1"/>
  <c r="G37" i="63"/>
  <c r="E37" i="63"/>
  <c r="D37" i="63"/>
  <c r="F37" i="63"/>
  <c r="E37" i="52"/>
  <c r="J80" i="55"/>
  <c r="B80" i="55"/>
  <c r="E48" i="63" l="1"/>
  <c r="B48" i="63" s="1"/>
  <c r="E47" i="63"/>
  <c r="H47" i="63"/>
  <c r="J67" i="52"/>
  <c r="B67" i="52"/>
  <c r="J73" i="50"/>
  <c r="B47" i="63" l="1"/>
  <c r="J77" i="43" l="1"/>
  <c r="B77" i="43"/>
  <c r="B68" i="40" l="1"/>
  <c r="J76" i="41"/>
  <c r="J73" i="38" l="1"/>
  <c r="B73" i="38"/>
  <c r="J75" i="36" l="1"/>
  <c r="B75" i="36"/>
  <c r="J78" i="31" l="1"/>
  <c r="B78" i="31"/>
  <c r="J96" i="32" l="1"/>
  <c r="L82" i="33" l="1"/>
  <c r="B82" i="33"/>
  <c r="J92" i="29"/>
  <c r="B92" i="29" l="1"/>
  <c r="H46" i="50" l="1"/>
  <c r="I46" i="50"/>
  <c r="G46" i="50"/>
  <c r="E46" i="50"/>
  <c r="F46" i="50"/>
  <c r="J46" i="50" s="1"/>
  <c r="H44" i="52"/>
  <c r="I44" i="52"/>
  <c r="E44" i="52"/>
  <c r="F44" i="52"/>
  <c r="H37" i="52"/>
  <c r="I37" i="52"/>
  <c r="G37" i="50" l="1"/>
  <c r="I37" i="50"/>
  <c r="H37" i="50"/>
  <c r="H37" i="53"/>
  <c r="H44" i="38"/>
  <c r="I44" i="38"/>
  <c r="G44" i="38"/>
  <c r="E44" i="38"/>
  <c r="F44" i="38"/>
  <c r="D44" i="38"/>
  <c r="H44" i="53"/>
  <c r="I44" i="53"/>
  <c r="G44" i="53"/>
  <c r="E44" i="53"/>
  <c r="F44" i="53"/>
  <c r="D44" i="53"/>
  <c r="H44" i="55"/>
  <c r="I44" i="55"/>
  <c r="G44" i="55"/>
  <c r="E44" i="55"/>
  <c r="F44" i="55"/>
  <c r="D44" i="55"/>
  <c r="G44" i="52"/>
  <c r="D44" i="52"/>
  <c r="J44" i="52" s="1"/>
  <c r="F37" i="52"/>
  <c r="H44" i="51"/>
  <c r="I44" i="51"/>
  <c r="G44" i="51"/>
  <c r="E44" i="51"/>
  <c r="F44" i="51"/>
  <c r="D44" i="51"/>
  <c r="D46" i="50"/>
  <c r="H44" i="44"/>
  <c r="I44" i="44"/>
  <c r="G44" i="44"/>
  <c r="E44" i="44"/>
  <c r="F44" i="44"/>
  <c r="D44" i="44"/>
  <c r="H43" i="45"/>
  <c r="I43" i="45"/>
  <c r="G43" i="45"/>
  <c r="E43" i="45"/>
  <c r="F43" i="45"/>
  <c r="D43" i="45"/>
  <c r="H44" i="43"/>
  <c r="I44" i="43"/>
  <c r="G44" i="43"/>
  <c r="E44" i="43"/>
  <c r="F44" i="43"/>
  <c r="J44" i="43" s="1"/>
  <c r="D44" i="43"/>
  <c r="H44" i="40"/>
  <c r="I44" i="40"/>
  <c r="G44" i="40"/>
  <c r="E44" i="40"/>
  <c r="F44" i="40"/>
  <c r="D44" i="40"/>
  <c r="H44" i="41"/>
  <c r="I44" i="41"/>
  <c r="G44" i="41"/>
  <c r="E44" i="41"/>
  <c r="F44" i="41"/>
  <c r="D44" i="41"/>
  <c r="H44" i="30"/>
  <c r="I44" i="30"/>
  <c r="G44" i="30"/>
  <c r="E44" i="30"/>
  <c r="F44" i="30"/>
  <c r="D44" i="30"/>
  <c r="H44" i="37"/>
  <c r="I44" i="37"/>
  <c r="G44" i="37"/>
  <c r="E44" i="37"/>
  <c r="F44" i="37"/>
  <c r="D44" i="37"/>
  <c r="J44" i="37" s="1"/>
  <c r="H43" i="31"/>
  <c r="I43" i="31"/>
  <c r="G43" i="31"/>
  <c r="E43" i="31"/>
  <c r="F43" i="31"/>
  <c r="D43" i="31"/>
  <c r="H45" i="34"/>
  <c r="I45" i="34"/>
  <c r="G45" i="34"/>
  <c r="E45" i="34"/>
  <c r="F45" i="34"/>
  <c r="D45" i="34"/>
  <c r="J45" i="34" s="1"/>
  <c r="H44" i="35"/>
  <c r="I44" i="35"/>
  <c r="G44" i="35"/>
  <c r="H58" i="32"/>
  <c r="I58" i="32"/>
  <c r="G58" i="32"/>
  <c r="E58" i="32"/>
  <c r="F58" i="32"/>
  <c r="D58" i="32"/>
  <c r="H44" i="42"/>
  <c r="I44" i="42"/>
  <c r="G44" i="42"/>
  <c r="E44" i="42"/>
  <c r="F44" i="42"/>
  <c r="D44" i="42"/>
  <c r="H44" i="33"/>
  <c r="I44" i="33"/>
  <c r="G44" i="33"/>
  <c r="E44" i="33"/>
  <c r="F44" i="33"/>
  <c r="D44" i="33"/>
  <c r="J44" i="33" s="1"/>
  <c r="H54" i="29"/>
  <c r="I54" i="29"/>
  <c r="G54" i="29"/>
  <c r="E54" i="29"/>
  <c r="F54" i="29"/>
  <c r="D54" i="29"/>
  <c r="I44" i="2"/>
  <c r="H44" i="2"/>
  <c r="G44" i="2"/>
  <c r="E44" i="2"/>
  <c r="F44" i="2"/>
  <c r="D44" i="2"/>
  <c r="J44" i="2" s="1"/>
  <c r="H51" i="42"/>
  <c r="H51" i="35"/>
  <c r="E37" i="29"/>
  <c r="E58" i="29" s="1"/>
  <c r="J43" i="45" l="1"/>
  <c r="J58" i="32"/>
  <c r="H49" i="50"/>
  <c r="H50" i="50"/>
  <c r="J44" i="53"/>
  <c r="J54" i="29"/>
  <c r="E50" i="1"/>
  <c r="D50" i="1" s="1"/>
  <c r="Y34" i="1"/>
  <c r="X34" i="1"/>
  <c r="Q34" i="1"/>
  <c r="P34" i="1"/>
  <c r="L22" i="1"/>
  <c r="L6" i="1"/>
  <c r="L8" i="1"/>
  <c r="L9" i="1"/>
  <c r="L10" i="1"/>
  <c r="L11" i="1"/>
  <c r="L13" i="1"/>
  <c r="L14" i="1"/>
  <c r="L15" i="1"/>
  <c r="L18" i="1"/>
  <c r="L19" i="1"/>
  <c r="L20" i="1"/>
  <c r="L21" i="1"/>
  <c r="L26" i="1"/>
  <c r="L27" i="1"/>
  <c r="L28" i="1"/>
  <c r="L30" i="1"/>
  <c r="L31" i="1"/>
  <c r="K34" i="1"/>
  <c r="D34" i="1"/>
  <c r="B73" i="50" l="1"/>
  <c r="B76" i="41"/>
  <c r="B96" i="32"/>
  <c r="L34" i="1" l="1"/>
  <c r="L16" i="1"/>
  <c r="H51" i="2"/>
  <c r="V5" i="1" l="1"/>
  <c r="V6" i="1"/>
  <c r="V7" i="1"/>
  <c r="V15" i="1"/>
  <c r="V8" i="1"/>
  <c r="V9" i="1"/>
  <c r="V10" i="1"/>
  <c r="V11" i="1"/>
  <c r="V13" i="1"/>
  <c r="V14" i="1"/>
  <c r="V16" i="1"/>
  <c r="V19" i="1"/>
  <c r="V4" i="1"/>
  <c r="V18" i="1"/>
  <c r="V20" i="1"/>
  <c r="V26" i="1"/>
  <c r="V21" i="1"/>
  <c r="V22" i="1"/>
  <c r="V27" i="1"/>
  <c r="V28" i="1"/>
  <c r="V30" i="1"/>
  <c r="V31" i="1"/>
  <c r="U33" i="1"/>
  <c r="I33" i="1"/>
  <c r="G196" i="58" l="1"/>
  <c r="E196" i="58"/>
  <c r="C196" i="58"/>
  <c r="B196" i="58"/>
  <c r="A196" i="58"/>
  <c r="D32" i="58"/>
  <c r="D196" i="58" s="1"/>
  <c r="E34" i="1" l="1"/>
  <c r="F34" i="1" s="1"/>
  <c r="AG34" i="1" l="1"/>
  <c r="J35" i="1"/>
  <c r="K15" i="24"/>
  <c r="G15" i="24"/>
  <c r="C3" i="24" l="1"/>
  <c r="G3" i="24"/>
  <c r="G5" i="24" s="1"/>
  <c r="C3" i="57" l="1"/>
  <c r="D197" i="57"/>
  <c r="D196" i="57"/>
  <c r="D195" i="57"/>
  <c r="D194" i="57"/>
  <c r="D193" i="57"/>
  <c r="D192" i="57"/>
  <c r="D191" i="57"/>
  <c r="D190" i="57"/>
  <c r="D189" i="57"/>
  <c r="D188" i="57"/>
  <c r="D187" i="57"/>
  <c r="D186" i="57"/>
  <c r="D185" i="57"/>
  <c r="D184" i="57"/>
  <c r="D183" i="57"/>
  <c r="D182" i="57"/>
  <c r="D181" i="57"/>
  <c r="D180" i="57"/>
  <c r="D179" i="57"/>
  <c r="D178" i="57"/>
  <c r="D177" i="57"/>
  <c r="D176" i="57"/>
  <c r="D175" i="57"/>
  <c r="D174" i="57"/>
  <c r="D173" i="57"/>
  <c r="D172" i="57"/>
  <c r="D171" i="57"/>
  <c r="D170" i="57"/>
  <c r="D169" i="57"/>
  <c r="D168" i="57"/>
  <c r="D167" i="57"/>
  <c r="D166" i="57"/>
  <c r="D165" i="57"/>
  <c r="D164" i="57"/>
  <c r="D163" i="57"/>
  <c r="D162" i="57"/>
  <c r="D161" i="57"/>
  <c r="D160" i="57"/>
  <c r="D159" i="57"/>
  <c r="D158" i="57"/>
  <c r="D157" i="57"/>
  <c r="D156" i="57"/>
  <c r="D155" i="57"/>
  <c r="D154" i="57"/>
  <c r="D153" i="57"/>
  <c r="D152" i="57"/>
  <c r="D151" i="57"/>
  <c r="D150" i="57"/>
  <c r="D149" i="57"/>
  <c r="D148" i="57"/>
  <c r="D147" i="57"/>
  <c r="D146" i="57"/>
  <c r="D145" i="57"/>
  <c r="D144" i="57"/>
  <c r="D143" i="57"/>
  <c r="D142" i="57"/>
  <c r="D141" i="57"/>
  <c r="D140" i="57"/>
  <c r="D139" i="57"/>
  <c r="D138" i="57"/>
  <c r="D137" i="57"/>
  <c r="D136" i="57"/>
  <c r="D135" i="57"/>
  <c r="D134" i="57"/>
  <c r="D133" i="57"/>
  <c r="D132" i="57"/>
  <c r="D131" i="57"/>
  <c r="D130" i="57"/>
  <c r="D129" i="57"/>
  <c r="D128" i="57"/>
  <c r="D127" i="57"/>
  <c r="D126" i="57"/>
  <c r="D125" i="57"/>
  <c r="D124" i="57"/>
  <c r="D123" i="57"/>
  <c r="D122" i="57"/>
  <c r="D121" i="57"/>
  <c r="D120" i="57"/>
  <c r="D119" i="57"/>
  <c r="D118" i="57"/>
  <c r="D117" i="57"/>
  <c r="D116" i="57"/>
  <c r="D115" i="57"/>
  <c r="D114" i="57"/>
  <c r="D113" i="57"/>
  <c r="D112" i="57"/>
  <c r="D111" i="57"/>
  <c r="D110" i="57"/>
  <c r="D109" i="57"/>
  <c r="D108" i="57"/>
  <c r="D107" i="57"/>
  <c r="D106" i="57"/>
  <c r="D105" i="57"/>
  <c r="D104" i="57"/>
  <c r="D103" i="57"/>
  <c r="D102" i="57"/>
  <c r="D101" i="57"/>
  <c r="D100" i="57"/>
  <c r="D99" i="57"/>
  <c r="D98" i="57"/>
  <c r="D97" i="57"/>
  <c r="D96" i="57"/>
  <c r="D95" i="57"/>
  <c r="D94" i="57"/>
  <c r="D93" i="57"/>
  <c r="D92" i="57"/>
  <c r="D91" i="57"/>
  <c r="D90" i="57"/>
  <c r="D89" i="57"/>
  <c r="D88" i="57"/>
  <c r="D87" i="57"/>
  <c r="D86" i="57"/>
  <c r="D85" i="57"/>
  <c r="D84" i="57"/>
  <c r="D83" i="57"/>
  <c r="D82" i="57"/>
  <c r="D81" i="57"/>
  <c r="D80" i="57"/>
  <c r="D79" i="57"/>
  <c r="D78" i="57"/>
  <c r="D77" i="57"/>
  <c r="D76" i="57"/>
  <c r="D75" i="57"/>
  <c r="D74" i="57"/>
  <c r="D73" i="57"/>
  <c r="D72" i="57"/>
  <c r="D71" i="57"/>
  <c r="D70" i="57"/>
  <c r="D69" i="57"/>
  <c r="D68" i="57"/>
  <c r="D67" i="57"/>
  <c r="D66" i="57"/>
  <c r="D65" i="57"/>
  <c r="D64" i="57"/>
  <c r="D63" i="57"/>
  <c r="D62" i="57"/>
  <c r="D61" i="57"/>
  <c r="D60" i="57"/>
  <c r="D59" i="57"/>
  <c r="D58" i="57"/>
  <c r="D57" i="57"/>
  <c r="D56" i="57"/>
  <c r="D55" i="57"/>
  <c r="D54" i="57"/>
  <c r="D53" i="57"/>
  <c r="D52" i="57"/>
  <c r="C52" i="57"/>
  <c r="D51" i="57"/>
  <c r="C51" i="57"/>
  <c r="D50" i="57"/>
  <c r="C50" i="57"/>
  <c r="D49" i="57"/>
  <c r="C49" i="57"/>
  <c r="D48" i="57"/>
  <c r="C48" i="57"/>
  <c r="D47" i="57"/>
  <c r="C47" i="57"/>
  <c r="D46" i="57"/>
  <c r="C46" i="57"/>
  <c r="D45" i="57"/>
  <c r="C45" i="57"/>
  <c r="D44" i="57"/>
  <c r="C44" i="57"/>
  <c r="D43" i="57"/>
  <c r="C43" i="57"/>
  <c r="D42" i="57"/>
  <c r="C42" i="57"/>
  <c r="D41" i="57"/>
  <c r="C41" i="57"/>
  <c r="D40" i="57"/>
  <c r="C40" i="57"/>
  <c r="D39" i="57"/>
  <c r="C39" i="57"/>
  <c r="D38" i="57"/>
  <c r="C38" i="57"/>
  <c r="D37" i="57"/>
  <c r="C37" i="57"/>
  <c r="D36" i="57"/>
  <c r="C36" i="57"/>
  <c r="D35" i="57"/>
  <c r="C35" i="57"/>
  <c r="D34" i="57"/>
  <c r="C34" i="57"/>
  <c r="D33" i="57"/>
  <c r="C33" i="57"/>
  <c r="D32" i="57"/>
  <c r="C32" i="57"/>
  <c r="D31" i="57"/>
  <c r="C31" i="57"/>
  <c r="D30" i="57"/>
  <c r="C30" i="57"/>
  <c r="D29" i="57"/>
  <c r="C29" i="57"/>
  <c r="D28" i="57"/>
  <c r="C28" i="57"/>
  <c r="D27" i="57"/>
  <c r="C27" i="57"/>
  <c r="D26" i="57"/>
  <c r="C26" i="57"/>
  <c r="D25" i="57"/>
  <c r="C25" i="57"/>
  <c r="D24" i="57"/>
  <c r="C24" i="57"/>
  <c r="D23" i="57"/>
  <c r="C23" i="57"/>
  <c r="D22" i="57"/>
  <c r="C22" i="57"/>
  <c r="D21" i="57"/>
  <c r="C21" i="57"/>
  <c r="D20" i="57"/>
  <c r="C20" i="57"/>
  <c r="D19" i="57"/>
  <c r="C19" i="57"/>
  <c r="D18" i="57"/>
  <c r="C18" i="57"/>
  <c r="D17" i="57"/>
  <c r="C17" i="57"/>
  <c r="D16" i="57"/>
  <c r="C16" i="57"/>
  <c r="D15" i="57"/>
  <c r="C15" i="57"/>
  <c r="D14" i="57"/>
  <c r="C14" i="57"/>
  <c r="D13" i="57"/>
  <c r="C13" i="57"/>
  <c r="C12" i="57"/>
  <c r="D11" i="57"/>
  <c r="C11" i="57"/>
  <c r="D10" i="57"/>
  <c r="C10" i="57"/>
  <c r="D9" i="57"/>
  <c r="C9" i="57"/>
  <c r="D8" i="57"/>
  <c r="C8" i="57"/>
  <c r="D3" i="57"/>
  <c r="D14" i="21"/>
  <c r="D15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7" i="21"/>
  <c r="Z33" i="1"/>
  <c r="R33" i="1"/>
  <c r="C15" i="24" l="1"/>
  <c r="Z32" i="1"/>
  <c r="R32" i="1"/>
  <c r="E7" i="21"/>
  <c r="C4" i="21" s="1"/>
  <c r="C14" i="24" s="1"/>
  <c r="C12" i="21"/>
  <c r="D12" i="21"/>
  <c r="C16" i="24" l="1"/>
  <c r="O32" i="1" l="1"/>
  <c r="W32" i="1" s="1"/>
  <c r="AB32" i="1" s="1"/>
  <c r="AA32" i="1" s="1"/>
  <c r="O33" i="1"/>
  <c r="W33" i="1" s="1"/>
  <c r="AB33" i="1" s="1"/>
  <c r="AA33" i="1" s="1"/>
  <c r="V32" i="1"/>
  <c r="V33" i="1"/>
  <c r="T33" i="1" l="1"/>
  <c r="T32" i="1"/>
  <c r="N33" i="1"/>
  <c r="N32" i="1"/>
  <c r="AE32" i="1" l="1"/>
  <c r="S32" i="1"/>
  <c r="AE33" i="1"/>
  <c r="S33" i="1"/>
  <c r="AC33" i="1"/>
  <c r="AC32" i="1"/>
  <c r="C3" i="21" s="1"/>
  <c r="AD33" i="1" l="1"/>
  <c r="AD32" i="1"/>
  <c r="N6" i="1"/>
  <c r="N10" i="1"/>
  <c r="N11" i="1"/>
  <c r="N14" i="1"/>
  <c r="N16" i="1"/>
  <c r="N18" i="1"/>
  <c r="N20" i="1"/>
  <c r="N21" i="1"/>
  <c r="N22" i="1"/>
  <c r="N28" i="1"/>
  <c r="F31" i="1"/>
  <c r="AG31" i="1" s="1"/>
  <c r="N27" i="1" l="1"/>
  <c r="N8" i="1"/>
  <c r="N15" i="1"/>
  <c r="N7" i="1"/>
  <c r="N26" i="1"/>
  <c r="N19" i="1"/>
  <c r="N31" i="1"/>
  <c r="N30" i="1"/>
  <c r="N13" i="1"/>
  <c r="F28" i="1" l="1"/>
  <c r="F30" i="1"/>
  <c r="B31" i="1"/>
  <c r="F10" i="1"/>
  <c r="F11" i="1"/>
  <c r="AG11" i="1" s="1"/>
  <c r="F9" i="1"/>
  <c r="H51" i="55"/>
  <c r="I37" i="55"/>
  <c r="H37" i="55"/>
  <c r="G37" i="55"/>
  <c r="F37" i="55"/>
  <c r="E37" i="55"/>
  <c r="D37" i="55"/>
  <c r="H51" i="54"/>
  <c r="I44" i="54"/>
  <c r="H44" i="54"/>
  <c r="G44" i="54"/>
  <c r="F44" i="54"/>
  <c r="E44" i="54"/>
  <c r="D44" i="54"/>
  <c r="I37" i="54"/>
  <c r="H37" i="54"/>
  <c r="G37" i="54"/>
  <c r="F37" i="54"/>
  <c r="E37" i="54"/>
  <c r="D37" i="54"/>
  <c r="H51" i="53"/>
  <c r="I37" i="53"/>
  <c r="G37" i="53"/>
  <c r="F37" i="53"/>
  <c r="E37" i="53"/>
  <c r="D37" i="53"/>
  <c r="H51" i="52"/>
  <c r="G37" i="52"/>
  <c r="H47" i="52" s="1"/>
  <c r="D37" i="52"/>
  <c r="E47" i="52" s="1"/>
  <c r="H51" i="51"/>
  <c r="I37" i="51"/>
  <c r="H37" i="51"/>
  <c r="H48" i="51" s="1"/>
  <c r="G37" i="51"/>
  <c r="F37" i="51"/>
  <c r="E37" i="51"/>
  <c r="D37" i="51"/>
  <c r="H53" i="50"/>
  <c r="F37" i="50"/>
  <c r="E37" i="50"/>
  <c r="D37" i="50"/>
  <c r="E49" i="50" s="1"/>
  <c r="H51" i="49"/>
  <c r="I44" i="49"/>
  <c r="H44" i="49"/>
  <c r="G44" i="49"/>
  <c r="F44" i="49"/>
  <c r="E44" i="49"/>
  <c r="D44" i="49"/>
  <c r="I37" i="49"/>
  <c r="H37" i="49"/>
  <c r="H48" i="49" s="1"/>
  <c r="G37" i="49"/>
  <c r="F37" i="49"/>
  <c r="E37" i="49"/>
  <c r="E48" i="49" s="1"/>
  <c r="B48" i="49" s="1"/>
  <c r="D37" i="49"/>
  <c r="H51" i="48"/>
  <c r="I44" i="48"/>
  <c r="H44" i="48"/>
  <c r="G44" i="48"/>
  <c r="F44" i="48"/>
  <c r="E44" i="48"/>
  <c r="D44" i="48"/>
  <c r="I37" i="48"/>
  <c r="H37" i="48"/>
  <c r="H48" i="48" s="1"/>
  <c r="G37" i="48"/>
  <c r="F37" i="48"/>
  <c r="E37" i="48"/>
  <c r="E48" i="48" s="1"/>
  <c r="B48" i="48" s="1"/>
  <c r="D37" i="48"/>
  <c r="H51" i="47"/>
  <c r="I44" i="47"/>
  <c r="H44" i="47"/>
  <c r="G44" i="47"/>
  <c r="F44" i="47"/>
  <c r="E44" i="47"/>
  <c r="D44" i="47"/>
  <c r="I37" i="47"/>
  <c r="H37" i="47"/>
  <c r="H48" i="47" s="1"/>
  <c r="G37" i="47"/>
  <c r="F37" i="47"/>
  <c r="E37" i="47"/>
  <c r="E48" i="47" s="1"/>
  <c r="B48" i="47" s="1"/>
  <c r="D37" i="47"/>
  <c r="H51" i="46"/>
  <c r="I37" i="46"/>
  <c r="H37" i="46"/>
  <c r="G37" i="46"/>
  <c r="F37" i="46"/>
  <c r="E37" i="46"/>
  <c r="D37" i="46"/>
  <c r="E47" i="46" s="1"/>
  <c r="H50" i="45"/>
  <c r="I36" i="45"/>
  <c r="H36" i="45"/>
  <c r="G36" i="45"/>
  <c r="H46" i="45" s="1"/>
  <c r="F36" i="45"/>
  <c r="E36" i="45"/>
  <c r="D36" i="45"/>
  <c r="H51" i="44"/>
  <c r="I37" i="44"/>
  <c r="H37" i="44"/>
  <c r="G37" i="44"/>
  <c r="F37" i="44"/>
  <c r="E37" i="44"/>
  <c r="D37" i="44"/>
  <c r="H51" i="43"/>
  <c r="I37" i="43"/>
  <c r="H47" i="43" s="1"/>
  <c r="H37" i="43"/>
  <c r="G37" i="43"/>
  <c r="F37" i="43"/>
  <c r="E37" i="43"/>
  <c r="D37" i="43"/>
  <c r="I37" i="42"/>
  <c r="H37" i="42"/>
  <c r="G37" i="42"/>
  <c r="F37" i="42"/>
  <c r="E37" i="42"/>
  <c r="D37" i="42"/>
  <c r="H51" i="41"/>
  <c r="I37" i="41"/>
  <c r="H37" i="41"/>
  <c r="G37" i="41"/>
  <c r="F37" i="41"/>
  <c r="E37" i="41"/>
  <c r="D37" i="41"/>
  <c r="H51" i="40"/>
  <c r="I37" i="40"/>
  <c r="H37" i="40"/>
  <c r="G37" i="40"/>
  <c r="F37" i="40"/>
  <c r="E37" i="40"/>
  <c r="D37" i="40"/>
  <c r="H51" i="39"/>
  <c r="I44" i="39"/>
  <c r="H44" i="39"/>
  <c r="G44" i="39"/>
  <c r="F44" i="39"/>
  <c r="E44" i="39"/>
  <c r="D44" i="39"/>
  <c r="I37" i="39"/>
  <c r="H37" i="39"/>
  <c r="G37" i="39"/>
  <c r="F37" i="39"/>
  <c r="E37" i="39"/>
  <c r="D37" i="39"/>
  <c r="H51" i="38"/>
  <c r="I37" i="38"/>
  <c r="H37" i="38"/>
  <c r="G37" i="38"/>
  <c r="F37" i="38"/>
  <c r="E37" i="38"/>
  <c r="D37" i="38"/>
  <c r="H51" i="37"/>
  <c r="I37" i="37"/>
  <c r="H37" i="37"/>
  <c r="G37" i="37"/>
  <c r="F37" i="37"/>
  <c r="E37" i="37"/>
  <c r="D37" i="37"/>
  <c r="H50" i="36"/>
  <c r="I36" i="36"/>
  <c r="H36" i="36"/>
  <c r="G36" i="36"/>
  <c r="F36" i="36"/>
  <c r="E36" i="36"/>
  <c r="D36" i="36"/>
  <c r="I37" i="35"/>
  <c r="H37" i="35"/>
  <c r="G37" i="35"/>
  <c r="F37" i="35"/>
  <c r="E37" i="35"/>
  <c r="D37" i="35"/>
  <c r="H52" i="34"/>
  <c r="I36" i="34"/>
  <c r="H36" i="34"/>
  <c r="G36" i="34"/>
  <c r="H48" i="34" s="1"/>
  <c r="F36" i="34"/>
  <c r="E36" i="34"/>
  <c r="D36" i="34"/>
  <c r="E48" i="34" s="1"/>
  <c r="I37" i="33"/>
  <c r="H37" i="33"/>
  <c r="G37" i="33"/>
  <c r="H47" i="33" s="1"/>
  <c r="F37" i="33"/>
  <c r="E37" i="33"/>
  <c r="D37" i="33"/>
  <c r="H65" i="32"/>
  <c r="I37" i="32"/>
  <c r="H37" i="32"/>
  <c r="G37" i="32"/>
  <c r="H61" i="32" s="1"/>
  <c r="F37" i="32"/>
  <c r="E37" i="32"/>
  <c r="D37" i="32"/>
  <c r="E61" i="32" s="1"/>
  <c r="H50" i="31"/>
  <c r="I36" i="31"/>
  <c r="H36" i="31"/>
  <c r="G36" i="31"/>
  <c r="F36" i="31"/>
  <c r="E36" i="31"/>
  <c r="D36" i="31"/>
  <c r="H51" i="30"/>
  <c r="I37" i="30"/>
  <c r="H37" i="30"/>
  <c r="G37" i="30"/>
  <c r="F37" i="30"/>
  <c r="E37" i="30"/>
  <c r="B48" i="30" s="1"/>
  <c r="D37" i="30"/>
  <c r="H61" i="29"/>
  <c r="I37" i="29"/>
  <c r="H37" i="29"/>
  <c r="G37" i="29"/>
  <c r="H57" i="29" s="1"/>
  <c r="F37" i="29"/>
  <c r="D37" i="29"/>
  <c r="E57" i="29" s="1"/>
  <c r="H51" i="28"/>
  <c r="I44" i="28"/>
  <c r="H44" i="28"/>
  <c r="G44" i="28"/>
  <c r="F44" i="28"/>
  <c r="E44" i="28"/>
  <c r="D44" i="28"/>
  <c r="I37" i="28"/>
  <c r="H37" i="28"/>
  <c r="G37" i="28"/>
  <c r="F37" i="28"/>
  <c r="E37" i="28"/>
  <c r="E48" i="28" s="1"/>
  <c r="D37" i="28"/>
  <c r="E50" i="50" l="1"/>
  <c r="H62" i="32"/>
  <c r="E62" i="32"/>
  <c r="H48" i="53"/>
  <c r="H47" i="53"/>
  <c r="E48" i="53"/>
  <c r="E47" i="53"/>
  <c r="E47" i="43"/>
  <c r="D64" i="1"/>
  <c r="H47" i="45"/>
  <c r="H47" i="41"/>
  <c r="H48" i="41"/>
  <c r="E47" i="41"/>
  <c r="E48" i="41"/>
  <c r="E47" i="40"/>
  <c r="J37" i="40"/>
  <c r="E48" i="40"/>
  <c r="H48" i="33"/>
  <c r="E47" i="33"/>
  <c r="E48" i="33"/>
  <c r="E46" i="31"/>
  <c r="E47" i="31"/>
  <c r="E47" i="45"/>
  <c r="E46" i="45"/>
  <c r="E46" i="36"/>
  <c r="E47" i="36"/>
  <c r="H47" i="38"/>
  <c r="H48" i="38"/>
  <c r="E47" i="38"/>
  <c r="E48" i="38"/>
  <c r="H47" i="55"/>
  <c r="H48" i="55"/>
  <c r="E47" i="55"/>
  <c r="E48" i="55"/>
  <c r="H48" i="35"/>
  <c r="H47" i="35"/>
  <c r="E49" i="34"/>
  <c r="H49" i="34"/>
  <c r="E47" i="37"/>
  <c r="E48" i="37"/>
  <c r="H47" i="37"/>
  <c r="H48" i="37"/>
  <c r="E48" i="43"/>
  <c r="H48" i="43"/>
  <c r="B47" i="35"/>
  <c r="B30" i="1"/>
  <c r="AG30" i="1"/>
  <c r="B28" i="1"/>
  <c r="AG28" i="1"/>
  <c r="B10" i="1"/>
  <c r="AG10" i="1"/>
  <c r="B9" i="1"/>
  <c r="AG9" i="1"/>
  <c r="B58" i="29"/>
  <c r="B48" i="46"/>
  <c r="B48" i="44"/>
  <c r="B48" i="38"/>
  <c r="H48" i="39"/>
  <c r="E48" i="54"/>
  <c r="H48" i="28"/>
  <c r="E48" i="39"/>
  <c r="B48" i="39" s="1"/>
  <c r="E48" i="51"/>
  <c r="B48" i="51" s="1"/>
  <c r="B48" i="28"/>
  <c r="B48" i="37"/>
  <c r="H48" i="54"/>
  <c r="H47" i="28"/>
  <c r="E47" i="49"/>
  <c r="H47" i="54"/>
  <c r="E47" i="48"/>
  <c r="H47" i="49"/>
  <c r="B47" i="49" s="1"/>
  <c r="E47" i="47"/>
  <c r="E47" i="28"/>
  <c r="E47" i="54"/>
  <c r="H47" i="51"/>
  <c r="E47" i="51"/>
  <c r="H47" i="39"/>
  <c r="H47" i="47"/>
  <c r="B47" i="47" s="1"/>
  <c r="E47" i="39"/>
  <c r="B11" i="1"/>
  <c r="H47" i="48"/>
  <c r="B47" i="48" s="1"/>
  <c r="B47" i="44"/>
  <c r="F22" i="1"/>
  <c r="AG22" i="1" s="1"/>
  <c r="F26" i="1"/>
  <c r="AG26" i="1" s="1"/>
  <c r="F20" i="1"/>
  <c r="AG20" i="1" s="1"/>
  <c r="F18" i="1"/>
  <c r="AG18" i="1" s="1"/>
  <c r="F14" i="1"/>
  <c r="F8" i="1"/>
  <c r="C5" i="24"/>
  <c r="K3" i="24" s="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G37" i="2"/>
  <c r="H37" i="2"/>
  <c r="I37" i="2"/>
  <c r="D37" i="2"/>
  <c r="E48" i="1" s="1"/>
  <c r="F48" i="1" s="1"/>
  <c r="E37" i="2"/>
  <c r="F37" i="2"/>
  <c r="F16" i="1"/>
  <c r="F5" i="1"/>
  <c r="F6" i="1"/>
  <c r="F7" i="1"/>
  <c r="F15" i="1"/>
  <c r="F13" i="1"/>
  <c r="F21" i="1"/>
  <c r="F27" i="1"/>
  <c r="F19" i="1"/>
  <c r="E47" i="2" l="1"/>
  <c r="E48" i="2"/>
  <c r="E49" i="1"/>
  <c r="D48" i="1"/>
  <c r="H47" i="2"/>
  <c r="H48" i="2"/>
  <c r="E46" i="1"/>
  <c r="E40" i="1"/>
  <c r="D40" i="1" s="1"/>
  <c r="B48" i="43"/>
  <c r="B47" i="43"/>
  <c r="D49" i="1"/>
  <c r="B48" i="35"/>
  <c r="B47" i="31"/>
  <c r="B48" i="55"/>
  <c r="B57" i="29"/>
  <c r="B49" i="34"/>
  <c r="B15" i="1"/>
  <c r="AG15" i="1"/>
  <c r="B13" i="1"/>
  <c r="AG13" i="1"/>
  <c r="B8" i="1"/>
  <c r="AG8" i="1"/>
  <c r="B27" i="1"/>
  <c r="AG27" i="1"/>
  <c r="B21" i="1"/>
  <c r="AG21" i="1"/>
  <c r="B19" i="1"/>
  <c r="AG19" i="1"/>
  <c r="B16" i="1"/>
  <c r="AG16" i="1"/>
  <c r="B14" i="1"/>
  <c r="AG14" i="1"/>
  <c r="B7" i="1"/>
  <c r="AG7" i="1"/>
  <c r="B6" i="1"/>
  <c r="AG6" i="1"/>
  <c r="B5" i="1"/>
  <c r="AG5" i="1"/>
  <c r="B47" i="45"/>
  <c r="B48" i="52"/>
  <c r="B48" i="40"/>
  <c r="B48" i="41"/>
  <c r="B48" i="53"/>
  <c r="B47" i="52"/>
  <c r="B46" i="36"/>
  <c r="B47" i="51"/>
  <c r="B46" i="45"/>
  <c r="B47" i="36"/>
  <c r="B48" i="34"/>
  <c r="B61" i="32"/>
  <c r="B48" i="33"/>
  <c r="B47" i="33"/>
  <c r="B47" i="28"/>
  <c r="B47" i="39"/>
  <c r="B47" i="54"/>
  <c r="B48" i="54"/>
  <c r="B48" i="2"/>
  <c r="B62" i="32"/>
  <c r="B46" i="31"/>
  <c r="B47" i="55"/>
  <c r="B49" i="50"/>
  <c r="B47" i="40"/>
  <c r="B47" i="46"/>
  <c r="B47" i="38"/>
  <c r="B47" i="37"/>
  <c r="B47" i="53"/>
  <c r="B47" i="41"/>
  <c r="B47" i="30"/>
  <c r="C4" i="57"/>
  <c r="C5" i="57" s="1"/>
  <c r="D8" i="21"/>
  <c r="D9" i="21" s="1"/>
  <c r="B18" i="1"/>
  <c r="B20" i="1"/>
  <c r="B26" i="1"/>
  <c r="B22" i="1"/>
  <c r="G10" i="24"/>
  <c r="C10" i="24"/>
  <c r="F46" i="1" l="1"/>
  <c r="D46" i="1"/>
  <c r="B47" i="2"/>
  <c r="B34" i="1"/>
  <c r="C34" i="1" s="1"/>
  <c r="N5" i="1" l="1"/>
  <c r="H10" i="1" l="1"/>
  <c r="H20" i="1"/>
  <c r="T10" i="1" l="1"/>
  <c r="D5" i="34" s="1"/>
  <c r="W6" i="1"/>
  <c r="T20" i="1"/>
  <c r="D5" i="43" s="1"/>
  <c r="M7" i="1"/>
  <c r="R7" i="1" s="1"/>
  <c r="D6" i="33" s="1"/>
  <c r="E49" i="33" s="1"/>
  <c r="E57" i="33" s="1"/>
  <c r="M19" i="1"/>
  <c r="R19" i="1" s="1"/>
  <c r="D6" i="40" s="1"/>
  <c r="E49" i="40" s="1"/>
  <c r="O30" i="1"/>
  <c r="O31" i="1"/>
  <c r="O26" i="1"/>
  <c r="H13" i="1"/>
  <c r="H27" i="1"/>
  <c r="W20" i="1"/>
  <c r="O28" i="1"/>
  <c r="H11" i="1"/>
  <c r="W10" i="1"/>
  <c r="H18" i="1"/>
  <c r="H21" i="1"/>
  <c r="H30" i="1"/>
  <c r="H28" i="1"/>
  <c r="H14" i="1"/>
  <c r="H15" i="1"/>
  <c r="H26" i="1"/>
  <c r="H16" i="1"/>
  <c r="H31" i="1"/>
  <c r="H7" i="1"/>
  <c r="H22" i="1"/>
  <c r="O27" i="1"/>
  <c r="H8" i="1"/>
  <c r="H19" i="1"/>
  <c r="H6" i="1"/>
  <c r="H9" i="1"/>
  <c r="U6" i="1"/>
  <c r="AB6" i="1"/>
  <c r="M6" i="1"/>
  <c r="T6" i="1"/>
  <c r="H5" i="1"/>
  <c r="M20" i="1"/>
  <c r="R20" i="1" s="1"/>
  <c r="M10" i="1"/>
  <c r="R10" i="1" s="1"/>
  <c r="E50" i="40" l="1"/>
  <c r="E50" i="33"/>
  <c r="H34" i="1"/>
  <c r="O34" i="1"/>
  <c r="S10" i="1"/>
  <c r="D6" i="34"/>
  <c r="E50" i="34" s="1"/>
  <c r="S20" i="1"/>
  <c r="D6" i="43"/>
  <c r="E49" i="43" s="1"/>
  <c r="D5" i="29"/>
  <c r="R6" i="1"/>
  <c r="S6" i="1" s="1"/>
  <c r="D8" i="29"/>
  <c r="Z6" i="1"/>
  <c r="T22" i="1"/>
  <c r="D5" i="46" s="1"/>
  <c r="M4" i="1"/>
  <c r="R4" i="1" s="1"/>
  <c r="D6" i="42" s="1"/>
  <c r="E49" i="42" s="1"/>
  <c r="T19" i="1"/>
  <c r="D5" i="40" s="1"/>
  <c r="T18" i="1"/>
  <c r="D5" i="41" s="1"/>
  <c r="T7" i="1"/>
  <c r="D5" i="33" s="1"/>
  <c r="T28" i="1"/>
  <c r="T27" i="1"/>
  <c r="D5" i="50" s="1"/>
  <c r="T31" i="1"/>
  <c r="D5" i="53" s="1"/>
  <c r="T13" i="1"/>
  <c r="D5" i="36" s="1"/>
  <c r="T15" i="1"/>
  <c r="D5" i="30" s="1"/>
  <c r="T11" i="1"/>
  <c r="D5" i="31" s="1"/>
  <c r="T16" i="1"/>
  <c r="D5" i="38" s="1"/>
  <c r="T9" i="1"/>
  <c r="D5" i="35" s="1"/>
  <c r="T26" i="1"/>
  <c r="D5" i="44" s="1"/>
  <c r="T21" i="1"/>
  <c r="D5" i="45" s="1"/>
  <c r="T30" i="1"/>
  <c r="D5" i="55" s="1"/>
  <c r="D5" i="51"/>
  <c r="T8" i="1"/>
  <c r="D5" i="32" s="1"/>
  <c r="W26" i="1"/>
  <c r="AB26" i="1" s="1"/>
  <c r="D8" i="44" s="1"/>
  <c r="W19" i="1"/>
  <c r="AB19" i="1" s="1"/>
  <c r="D8" i="40" s="1"/>
  <c r="W31" i="1"/>
  <c r="U31" i="1" s="1"/>
  <c r="Z31" i="1" s="1"/>
  <c r="D9" i="53" s="1"/>
  <c r="W7" i="1"/>
  <c r="AB7" i="1" s="1"/>
  <c r="D8" i="33" s="1"/>
  <c r="W22" i="1"/>
  <c r="U22" i="1" s="1"/>
  <c r="Z22" i="1" s="1"/>
  <c r="D9" i="46" s="1"/>
  <c r="H49" i="46" s="1"/>
  <c r="H50" i="46" s="1"/>
  <c r="W9" i="1"/>
  <c r="U9" i="1" s="1"/>
  <c r="Z9" i="1" s="1"/>
  <c r="W30" i="1"/>
  <c r="U30" i="1" s="1"/>
  <c r="Z30" i="1" s="1"/>
  <c r="M21" i="1"/>
  <c r="R21" i="1" s="1"/>
  <c r="M16" i="1"/>
  <c r="R16" i="1" s="1"/>
  <c r="D6" i="38" s="1"/>
  <c r="E49" i="38" s="1"/>
  <c r="W21" i="1"/>
  <c r="AB21" i="1" s="1"/>
  <c r="D8" i="45" s="1"/>
  <c r="W16" i="1"/>
  <c r="U16" i="1" s="1"/>
  <c r="Z16" i="1" s="1"/>
  <c r="D9" i="38" s="1"/>
  <c r="H49" i="38" s="1"/>
  <c r="H50" i="38" s="1"/>
  <c r="T14" i="1"/>
  <c r="D5" i="37" s="1"/>
  <c r="M14" i="1"/>
  <c r="R14" i="1" s="1"/>
  <c r="D6" i="37" s="1"/>
  <c r="E49" i="37" s="1"/>
  <c r="M30" i="1"/>
  <c r="R30" i="1" s="1"/>
  <c r="D6" i="55" s="1"/>
  <c r="E49" i="55" s="1"/>
  <c r="D9" i="28"/>
  <c r="H49" i="28" s="1"/>
  <c r="M8" i="1"/>
  <c r="R8" i="1" s="1"/>
  <c r="D6" i="32" s="1"/>
  <c r="E63" i="32" s="1"/>
  <c r="D9" i="51"/>
  <c r="H49" i="51" s="1"/>
  <c r="H50" i="51" s="1"/>
  <c r="W15" i="1"/>
  <c r="AB15" i="1" s="1"/>
  <c r="D8" i="30" s="1"/>
  <c r="W14" i="1"/>
  <c r="U14" i="1" s="1"/>
  <c r="Z14" i="1" s="1"/>
  <c r="D9" i="37" s="1"/>
  <c r="H49" i="37" s="1"/>
  <c r="H50" i="37" s="1"/>
  <c r="W28" i="1"/>
  <c r="U28" i="1" s="1"/>
  <c r="Z28" i="1" s="1"/>
  <c r="D9" i="63" s="1"/>
  <c r="H49" i="63" s="1"/>
  <c r="H51" i="63" s="1"/>
  <c r="H53" i="63" s="1"/>
  <c r="W8" i="1"/>
  <c r="AB8" i="1" s="1"/>
  <c r="D8" i="32" s="1"/>
  <c r="W11" i="1"/>
  <c r="AB11" i="1" s="1"/>
  <c r="D8" i="31" s="1"/>
  <c r="D6" i="48"/>
  <c r="E49" i="48" s="1"/>
  <c r="M22" i="1"/>
  <c r="R22" i="1" s="1"/>
  <c r="D6" i="46" s="1"/>
  <c r="E49" i="46" s="1"/>
  <c r="E56" i="46" s="1"/>
  <c r="W18" i="1"/>
  <c r="W4" i="1"/>
  <c r="M31" i="1"/>
  <c r="M28" i="1"/>
  <c r="AB10" i="1"/>
  <c r="D8" i="34" s="1"/>
  <c r="U10" i="1"/>
  <c r="Z10" i="1" s="1"/>
  <c r="D9" i="34" s="1"/>
  <c r="H50" i="34" s="1"/>
  <c r="H51" i="34" s="1"/>
  <c r="AB20" i="1"/>
  <c r="D8" i="43" s="1"/>
  <c r="U20" i="1"/>
  <c r="Z20" i="1" s="1"/>
  <c r="W27" i="1"/>
  <c r="S19" i="1"/>
  <c r="M18" i="1"/>
  <c r="M15" i="1"/>
  <c r="R15" i="1" s="1"/>
  <c r="M9" i="1"/>
  <c r="M26" i="1"/>
  <c r="R26" i="1" s="1"/>
  <c r="W13" i="1"/>
  <c r="D6" i="47"/>
  <c r="E49" i="47" s="1"/>
  <c r="M27" i="1"/>
  <c r="M13" i="1"/>
  <c r="R13" i="1" s="1"/>
  <c r="M11" i="1"/>
  <c r="R11" i="1" s="1"/>
  <c r="D5" i="39"/>
  <c r="T5" i="1"/>
  <c r="D5" i="2" s="1"/>
  <c r="M5" i="1"/>
  <c r="W5" i="1"/>
  <c r="D5" i="49"/>
  <c r="AE6" i="1"/>
  <c r="D6" i="49"/>
  <c r="E49" i="49" s="1"/>
  <c r="C5" i="21"/>
  <c r="E56" i="38" l="1"/>
  <c r="H49" i="53"/>
  <c r="H50" i="53" s="1"/>
  <c r="E58" i="34"/>
  <c r="E56" i="37"/>
  <c r="E59" i="34"/>
  <c r="E51" i="34"/>
  <c r="E64" i="32"/>
  <c r="E50" i="42"/>
  <c r="E57" i="37"/>
  <c r="E50" i="37"/>
  <c r="I34" i="1"/>
  <c r="C58" i="1"/>
  <c r="C61" i="1" s="1"/>
  <c r="E57" i="46"/>
  <c r="E50" i="46"/>
  <c r="E50" i="55"/>
  <c r="E52" i="55" s="1"/>
  <c r="E55" i="55" s="1"/>
  <c r="E50" i="43"/>
  <c r="E52" i="43" s="1"/>
  <c r="E55" i="43" s="1"/>
  <c r="U19" i="1"/>
  <c r="Z19" i="1" s="1"/>
  <c r="E57" i="38"/>
  <c r="E50" i="38"/>
  <c r="E52" i="38" s="1"/>
  <c r="E55" i="38" s="1"/>
  <c r="E52" i="42"/>
  <c r="U7" i="1"/>
  <c r="Z7" i="1" s="1"/>
  <c r="D9" i="33" s="1"/>
  <c r="H49" i="33" s="1"/>
  <c r="S7" i="1"/>
  <c r="AC6" i="1"/>
  <c r="AB9" i="1"/>
  <c r="D8" i="35" s="1"/>
  <c r="U26" i="1"/>
  <c r="Z26" i="1" s="1"/>
  <c r="D9" i="44" s="1"/>
  <c r="H49" i="44" s="1"/>
  <c r="H50" i="44" s="1"/>
  <c r="D5" i="52"/>
  <c r="D5" i="63"/>
  <c r="AA6" i="1"/>
  <c r="H55" i="63"/>
  <c r="AE26" i="1"/>
  <c r="AB22" i="1"/>
  <c r="AE22" i="1" s="1"/>
  <c r="W34" i="1"/>
  <c r="M34" i="1"/>
  <c r="S13" i="1"/>
  <c r="D6" i="36"/>
  <c r="E48" i="36" s="1"/>
  <c r="S15" i="1"/>
  <c r="D6" i="30"/>
  <c r="E49" i="30" s="1"/>
  <c r="D9" i="52"/>
  <c r="H49" i="52" s="1"/>
  <c r="H50" i="52" s="1"/>
  <c r="D9" i="35"/>
  <c r="H49" i="35" s="1"/>
  <c r="H50" i="35" s="1"/>
  <c r="H52" i="35" s="1"/>
  <c r="S21" i="1"/>
  <c r="D6" i="45"/>
  <c r="E48" i="45" s="1"/>
  <c r="S26" i="1"/>
  <c r="D6" i="44"/>
  <c r="E49" i="44" s="1"/>
  <c r="E57" i="44" s="1"/>
  <c r="AC19" i="1"/>
  <c r="D9" i="40"/>
  <c r="H49" i="40" s="1"/>
  <c r="E56" i="40" s="1"/>
  <c r="D6" i="51"/>
  <c r="S11" i="1"/>
  <c r="D6" i="31"/>
  <c r="E48" i="31" s="1"/>
  <c r="AC20" i="1"/>
  <c r="D9" i="43"/>
  <c r="H49" i="43" s="1"/>
  <c r="D9" i="55"/>
  <c r="H49" i="55" s="1"/>
  <c r="D9" i="29"/>
  <c r="H59" i="29" s="1"/>
  <c r="H60" i="29" s="1"/>
  <c r="D6" i="29"/>
  <c r="E59" i="29" s="1"/>
  <c r="E67" i="29" s="1"/>
  <c r="E66" i="32"/>
  <c r="E69" i="32" s="1"/>
  <c r="S30" i="1"/>
  <c r="AE8" i="1"/>
  <c r="S16" i="1"/>
  <c r="AB28" i="1"/>
  <c r="AA28" i="1" s="1"/>
  <c r="U21" i="1"/>
  <c r="Z21" i="1" s="1"/>
  <c r="AA21" i="1" s="1"/>
  <c r="AB30" i="1"/>
  <c r="AA30" i="1" s="1"/>
  <c r="AB31" i="1"/>
  <c r="D8" i="53" s="1"/>
  <c r="S14" i="1"/>
  <c r="H52" i="46"/>
  <c r="AB16" i="1"/>
  <c r="H50" i="28"/>
  <c r="E50" i="48"/>
  <c r="E52" i="48" s="1"/>
  <c r="S8" i="1"/>
  <c r="D6" i="39"/>
  <c r="E49" i="39" s="1"/>
  <c r="E50" i="49"/>
  <c r="E52" i="49" s="1"/>
  <c r="E54" i="49" s="1"/>
  <c r="AA20" i="1"/>
  <c r="E50" i="47"/>
  <c r="E52" i="47" s="1"/>
  <c r="AC14" i="1"/>
  <c r="U8" i="1"/>
  <c r="Z8" i="1" s="1"/>
  <c r="AE7" i="1"/>
  <c r="D8" i="51"/>
  <c r="AB14" i="1"/>
  <c r="D5" i="28"/>
  <c r="D6" i="28"/>
  <c r="E49" i="28" s="1"/>
  <c r="B49" i="28" s="1"/>
  <c r="AE15" i="1"/>
  <c r="AE11" i="1"/>
  <c r="D5" i="48"/>
  <c r="U15" i="1"/>
  <c r="Z15" i="1" s="1"/>
  <c r="U11" i="1"/>
  <c r="Z11" i="1" s="1"/>
  <c r="S22" i="1"/>
  <c r="AA10" i="1"/>
  <c r="D8" i="49"/>
  <c r="AA22" i="1"/>
  <c r="AA19" i="1"/>
  <c r="H52" i="37"/>
  <c r="AA7" i="1"/>
  <c r="AB18" i="1"/>
  <c r="D8" i="41" s="1"/>
  <c r="U18" i="1"/>
  <c r="Z18" i="1" s="1"/>
  <c r="D9" i="41" s="1"/>
  <c r="H49" i="41" s="1"/>
  <c r="H50" i="41" s="1"/>
  <c r="U13" i="1"/>
  <c r="Z13" i="1" s="1"/>
  <c r="D9" i="36" s="1"/>
  <c r="H48" i="36" s="1"/>
  <c r="H49" i="36" s="1"/>
  <c r="AB13" i="1"/>
  <c r="D8" i="36" s="1"/>
  <c r="AC10" i="1"/>
  <c r="D9" i="49"/>
  <c r="H49" i="49" s="1"/>
  <c r="R27" i="1"/>
  <c r="R31" i="1"/>
  <c r="R18" i="1"/>
  <c r="R9" i="1"/>
  <c r="AB4" i="1"/>
  <c r="U4" i="1"/>
  <c r="R28" i="1"/>
  <c r="D6" i="63" s="1"/>
  <c r="E49" i="63" s="1"/>
  <c r="D9" i="39"/>
  <c r="H49" i="39" s="1"/>
  <c r="AB27" i="1"/>
  <c r="D8" i="50" s="1"/>
  <c r="U27" i="1"/>
  <c r="Z27" i="1" s="1"/>
  <c r="D9" i="50" s="1"/>
  <c r="H51" i="50" s="1"/>
  <c r="H52" i="50" s="1"/>
  <c r="D5" i="47"/>
  <c r="AC22" i="1"/>
  <c r="AA26" i="1"/>
  <c r="AC30" i="1"/>
  <c r="D5" i="54"/>
  <c r="AC16" i="1"/>
  <c r="D9" i="48"/>
  <c r="H49" i="48" s="1"/>
  <c r="AE10" i="1"/>
  <c r="D8" i="48"/>
  <c r="AC7" i="1"/>
  <c r="D9" i="47"/>
  <c r="H49" i="47" s="1"/>
  <c r="D8" i="28"/>
  <c r="D8" i="47"/>
  <c r="AD6" i="1"/>
  <c r="AE21" i="1"/>
  <c r="R5" i="1"/>
  <c r="U5" i="1"/>
  <c r="AB5" i="1"/>
  <c r="D8" i="2" s="1"/>
  <c r="AE19" i="1"/>
  <c r="AE20" i="1"/>
  <c r="H50" i="55" l="1"/>
  <c r="E57" i="55"/>
  <c r="H50" i="43"/>
  <c r="E57" i="43"/>
  <c r="E56" i="36"/>
  <c r="AE28" i="1"/>
  <c r="E58" i="44"/>
  <c r="E50" i="44"/>
  <c r="E49" i="45"/>
  <c r="E57" i="36"/>
  <c r="E49" i="36"/>
  <c r="E51" i="36" s="1"/>
  <c r="E54" i="36" s="1"/>
  <c r="E49" i="31"/>
  <c r="E51" i="31" s="1"/>
  <c r="E54" i="31" s="1"/>
  <c r="H55" i="35"/>
  <c r="D61" i="1"/>
  <c r="C62" i="1"/>
  <c r="E60" i="29"/>
  <c r="E68" i="29"/>
  <c r="H50" i="40"/>
  <c r="E57" i="40"/>
  <c r="E50" i="30"/>
  <c r="E52" i="30" s="1"/>
  <c r="E55" i="30" s="1"/>
  <c r="E58" i="43"/>
  <c r="H50" i="33"/>
  <c r="E58" i="33"/>
  <c r="E58" i="55"/>
  <c r="E54" i="42"/>
  <c r="AE9" i="1"/>
  <c r="D8" i="46"/>
  <c r="H55" i="46" s="1"/>
  <c r="AA9" i="1"/>
  <c r="N34" i="1"/>
  <c r="M35" i="1"/>
  <c r="E49" i="51"/>
  <c r="E50" i="51" s="1"/>
  <c r="E52" i="51" s="1"/>
  <c r="E54" i="51" s="1"/>
  <c r="E51" i="45"/>
  <c r="AC26" i="1"/>
  <c r="AD7" i="1"/>
  <c r="AD22" i="1"/>
  <c r="B49" i="63"/>
  <c r="E51" i="63"/>
  <c r="AD26" i="1"/>
  <c r="D8" i="63"/>
  <c r="H56" i="63" s="1"/>
  <c r="D8" i="52"/>
  <c r="B50" i="43"/>
  <c r="H62" i="29"/>
  <c r="H65" i="29" s="1"/>
  <c r="AE31" i="1"/>
  <c r="AA31" i="1"/>
  <c r="H54" i="37"/>
  <c r="H52" i="52"/>
  <c r="H54" i="46"/>
  <c r="H52" i="53"/>
  <c r="H55" i="53" s="1"/>
  <c r="S5" i="1"/>
  <c r="D6" i="2"/>
  <c r="E49" i="2" s="1"/>
  <c r="S28" i="1"/>
  <c r="D6" i="52"/>
  <c r="E49" i="52" s="1"/>
  <c r="E57" i="52" s="1"/>
  <c r="D8" i="42"/>
  <c r="AB34" i="1"/>
  <c r="S31" i="1"/>
  <c r="D6" i="53"/>
  <c r="E49" i="53" s="1"/>
  <c r="E57" i="53" s="1"/>
  <c r="AA14" i="1"/>
  <c r="D8" i="37"/>
  <c r="H55" i="37" s="1"/>
  <c r="D9" i="32"/>
  <c r="H63" i="32" s="1"/>
  <c r="E71" i="32" s="1"/>
  <c r="S9" i="1"/>
  <c r="D6" i="35"/>
  <c r="E49" i="35" s="1"/>
  <c r="E56" i="35" s="1"/>
  <c r="S27" i="1"/>
  <c r="D6" i="50"/>
  <c r="E51" i="50" s="1"/>
  <c r="E58" i="50" s="1"/>
  <c r="D9" i="31"/>
  <c r="H48" i="31" s="1"/>
  <c r="B49" i="55"/>
  <c r="R34" i="1"/>
  <c r="C6" i="24" s="1"/>
  <c r="AC15" i="1"/>
  <c r="AD15" i="1" s="1"/>
  <c r="D9" i="30"/>
  <c r="H49" i="30" s="1"/>
  <c r="AA16" i="1"/>
  <c r="D8" i="38"/>
  <c r="AE30" i="1"/>
  <c r="D8" i="55"/>
  <c r="Z4" i="1"/>
  <c r="AA4" i="1" s="1"/>
  <c r="U34" i="1"/>
  <c r="S18" i="1"/>
  <c r="D6" i="41"/>
  <c r="E49" i="41" s="1"/>
  <c r="E57" i="41" s="1"/>
  <c r="AC21" i="1"/>
  <c r="AD21" i="1" s="1"/>
  <c r="D9" i="45"/>
  <c r="H48" i="45" s="1"/>
  <c r="B49" i="44"/>
  <c r="B49" i="46"/>
  <c r="AE16" i="1"/>
  <c r="B49" i="37"/>
  <c r="B49" i="43"/>
  <c r="AC8" i="1"/>
  <c r="AD8" i="1" s="1"/>
  <c r="H52" i="33"/>
  <c r="H55" i="33" s="1"/>
  <c r="B49" i="33"/>
  <c r="H53" i="34"/>
  <c r="H56" i="34" s="1"/>
  <c r="B50" i="34"/>
  <c r="E53" i="34"/>
  <c r="E56" i="34" s="1"/>
  <c r="E52" i="33"/>
  <c r="E55" i="33" s="1"/>
  <c r="H50" i="47"/>
  <c r="B49" i="47"/>
  <c r="H50" i="39"/>
  <c r="B49" i="39"/>
  <c r="H52" i="44"/>
  <c r="H55" i="44" s="1"/>
  <c r="H50" i="48"/>
  <c r="B49" i="48"/>
  <c r="H52" i="28"/>
  <c r="B49" i="38"/>
  <c r="H50" i="49"/>
  <c r="B49" i="49"/>
  <c r="H52" i="40"/>
  <c r="H55" i="40" s="1"/>
  <c r="B49" i="40"/>
  <c r="E52" i="40"/>
  <c r="E55" i="40" s="1"/>
  <c r="H52" i="43"/>
  <c r="H55" i="43" s="1"/>
  <c r="E55" i="51"/>
  <c r="E54" i="48"/>
  <c r="E55" i="48"/>
  <c r="E54" i="38"/>
  <c r="E54" i="47"/>
  <c r="E55" i="47"/>
  <c r="E54" i="43"/>
  <c r="E68" i="32"/>
  <c r="E50" i="39"/>
  <c r="E52" i="39" s="1"/>
  <c r="E50" i="28"/>
  <c r="E55" i="49"/>
  <c r="AA15" i="1"/>
  <c r="AD10" i="1"/>
  <c r="AA8" i="1"/>
  <c r="AE14" i="1"/>
  <c r="D8" i="39"/>
  <c r="AC9" i="1"/>
  <c r="AD9" i="1" s="1"/>
  <c r="AA11" i="1"/>
  <c r="AC11" i="1"/>
  <c r="AD11" i="1" s="1"/>
  <c r="AC28" i="1"/>
  <c r="AD28" i="1" s="1"/>
  <c r="AC31" i="1"/>
  <c r="AD31" i="1" s="1"/>
  <c r="D9" i="54"/>
  <c r="H49" i="54" s="1"/>
  <c r="D8" i="54"/>
  <c r="D6" i="54"/>
  <c r="E49" i="54" s="1"/>
  <c r="AA13" i="1"/>
  <c r="AE13" i="1"/>
  <c r="AC13" i="1"/>
  <c r="AC27" i="1"/>
  <c r="AC18" i="1"/>
  <c r="H52" i="41"/>
  <c r="H55" i="41" s="1"/>
  <c r="AA27" i="1"/>
  <c r="AA18" i="1"/>
  <c r="AE18" i="1"/>
  <c r="AD19" i="1"/>
  <c r="AD20" i="1"/>
  <c r="AE27" i="1"/>
  <c r="AE5" i="1"/>
  <c r="Z5" i="1"/>
  <c r="D9" i="2" s="1"/>
  <c r="H49" i="2" s="1"/>
  <c r="H50" i="2" s="1"/>
  <c r="H49" i="45" l="1"/>
  <c r="E55" i="45"/>
  <c r="H50" i="30"/>
  <c r="E56" i="30"/>
  <c r="H49" i="31"/>
  <c r="E56" i="31"/>
  <c r="E60" i="2"/>
  <c r="E50" i="2"/>
  <c r="H55" i="52"/>
  <c r="H64" i="32"/>
  <c r="E72" i="32"/>
  <c r="E58" i="53"/>
  <c r="E50" i="53"/>
  <c r="E52" i="53" s="1"/>
  <c r="E55" i="53" s="1"/>
  <c r="E56" i="45"/>
  <c r="E59" i="50"/>
  <c r="E52" i="50"/>
  <c r="D62" i="1"/>
  <c r="D58" i="1"/>
  <c r="E57" i="30"/>
  <c r="E57" i="35"/>
  <c r="E50" i="35"/>
  <c r="B50" i="35" s="1"/>
  <c r="E58" i="41"/>
  <c r="E50" i="41"/>
  <c r="E58" i="52"/>
  <c r="E50" i="52"/>
  <c r="E57" i="31"/>
  <c r="E54" i="45"/>
  <c r="B49" i="51"/>
  <c r="E53" i="45"/>
  <c r="B49" i="35"/>
  <c r="V34" i="1"/>
  <c r="U35" i="1"/>
  <c r="H52" i="55"/>
  <c r="H55" i="55" s="1"/>
  <c r="AD30" i="1"/>
  <c r="AD16" i="1"/>
  <c r="AD14" i="1"/>
  <c r="H64" i="29"/>
  <c r="AC4" i="1"/>
  <c r="B51" i="63"/>
  <c r="E53" i="63"/>
  <c r="B59" i="29"/>
  <c r="E62" i="29"/>
  <c r="E65" i="29" s="1"/>
  <c r="B60" i="29"/>
  <c r="H54" i="52"/>
  <c r="E54" i="30"/>
  <c r="E53" i="36"/>
  <c r="H54" i="53"/>
  <c r="B49" i="52"/>
  <c r="H54" i="40"/>
  <c r="E54" i="40"/>
  <c r="H55" i="34"/>
  <c r="E55" i="34"/>
  <c r="E54" i="33"/>
  <c r="H54" i="33"/>
  <c r="H54" i="41"/>
  <c r="B49" i="53"/>
  <c r="H51" i="31"/>
  <c r="H54" i="31" s="1"/>
  <c r="B48" i="31"/>
  <c r="B63" i="32"/>
  <c r="H66" i="32"/>
  <c r="H69" i="32" s="1"/>
  <c r="D9" i="42"/>
  <c r="Z34" i="1"/>
  <c r="G6" i="24" s="1"/>
  <c r="B48" i="45"/>
  <c r="B50" i="40"/>
  <c r="B51" i="34"/>
  <c r="B50" i="33"/>
  <c r="E52" i="44"/>
  <c r="E55" i="44" s="1"/>
  <c r="B50" i="44"/>
  <c r="E52" i="28"/>
  <c r="E54" i="28" s="1"/>
  <c r="B50" i="28"/>
  <c r="E52" i="46"/>
  <c r="E55" i="46" s="1"/>
  <c r="B50" i="46"/>
  <c r="E52" i="37"/>
  <c r="E55" i="37" s="1"/>
  <c r="B50" i="37"/>
  <c r="H52" i="47"/>
  <c r="B50" i="47"/>
  <c r="H52" i="39"/>
  <c r="B50" i="39"/>
  <c r="H54" i="44"/>
  <c r="H51" i="45"/>
  <c r="H54" i="45" s="1"/>
  <c r="B49" i="45"/>
  <c r="H52" i="48"/>
  <c r="B50" i="48"/>
  <c r="H54" i="28"/>
  <c r="H55" i="28"/>
  <c r="H52" i="38"/>
  <c r="H55" i="38" s="1"/>
  <c r="B50" i="38"/>
  <c r="B48" i="36"/>
  <c r="H52" i="49"/>
  <c r="B50" i="49"/>
  <c r="B50" i="55"/>
  <c r="H52" i="51"/>
  <c r="B50" i="51"/>
  <c r="B49" i="41"/>
  <c r="B49" i="30"/>
  <c r="H54" i="43"/>
  <c r="H50" i="54"/>
  <c r="B49" i="54"/>
  <c r="E53" i="31"/>
  <c r="E54" i="39"/>
  <c r="E55" i="39"/>
  <c r="E50" i="54"/>
  <c r="E52" i="54" s="1"/>
  <c r="AD18" i="1"/>
  <c r="AD13" i="1"/>
  <c r="AA5" i="1"/>
  <c r="AC5" i="1"/>
  <c r="AD27" i="1"/>
  <c r="B49" i="2"/>
  <c r="C9" i="24"/>
  <c r="C11" i="24" s="1"/>
  <c r="C12" i="24" s="1"/>
  <c r="C7" i="24"/>
  <c r="E58" i="1" l="1"/>
  <c r="H49" i="42"/>
  <c r="E61" i="2"/>
  <c r="H54" i="35"/>
  <c r="H54" i="55"/>
  <c r="AC34" i="1"/>
  <c r="K4" i="24" s="1"/>
  <c r="K5" i="24" s="1"/>
  <c r="E55" i="63"/>
  <c r="E56" i="63"/>
  <c r="E64" i="29"/>
  <c r="E54" i="37"/>
  <c r="E54" i="55"/>
  <c r="E54" i="46"/>
  <c r="B49" i="31"/>
  <c r="B64" i="32"/>
  <c r="E55" i="28"/>
  <c r="E54" i="44"/>
  <c r="E52" i="2"/>
  <c r="E55" i="2" s="1"/>
  <c r="E52" i="35"/>
  <c r="E55" i="35" s="1"/>
  <c r="H54" i="47"/>
  <c r="H55" i="47"/>
  <c r="H54" i="39"/>
  <c r="H55" i="39"/>
  <c r="H53" i="45"/>
  <c r="H54" i="48"/>
  <c r="H55" i="48"/>
  <c r="H54" i="38"/>
  <c r="H51" i="36"/>
  <c r="H54" i="36" s="1"/>
  <c r="B49" i="36"/>
  <c r="H54" i="49"/>
  <c r="H55" i="49"/>
  <c r="H53" i="31"/>
  <c r="H68" i="32"/>
  <c r="E54" i="53"/>
  <c r="B50" i="53"/>
  <c r="E52" i="52"/>
  <c r="E55" i="52" s="1"/>
  <c r="B50" i="52"/>
  <c r="E54" i="50"/>
  <c r="E57" i="50" s="1"/>
  <c r="H54" i="51"/>
  <c r="H55" i="51"/>
  <c r="H52" i="30"/>
  <c r="H55" i="30" s="1"/>
  <c r="B50" i="30"/>
  <c r="H52" i="54"/>
  <c r="B50" i="54"/>
  <c r="E52" i="41"/>
  <c r="E55" i="41" s="1"/>
  <c r="B50" i="41"/>
  <c r="E54" i="54"/>
  <c r="E55" i="54"/>
  <c r="AD5" i="1"/>
  <c r="AA34" i="1"/>
  <c r="G7" i="24"/>
  <c r="G9" i="24"/>
  <c r="G11" i="24" s="1"/>
  <c r="G12" i="24" s="1"/>
  <c r="K9" i="24" s="1"/>
  <c r="E57" i="42" l="1"/>
  <c r="D67" i="1" s="1"/>
  <c r="E42" i="1"/>
  <c r="H50" i="42"/>
  <c r="D42" i="1"/>
  <c r="D43" i="1" s="1"/>
  <c r="E54" i="2"/>
  <c r="E54" i="35"/>
  <c r="G14" i="24"/>
  <c r="G16" i="24" s="1"/>
  <c r="E54" i="41"/>
  <c r="E56" i="50"/>
  <c r="H52" i="2"/>
  <c r="H55" i="2" s="1"/>
  <c r="B50" i="2"/>
  <c r="H53" i="36"/>
  <c r="H54" i="30"/>
  <c r="H54" i="54"/>
  <c r="H55" i="54"/>
  <c r="E51" i="1" l="1"/>
  <c r="D68" i="1"/>
  <c r="E52" i="1"/>
  <c r="F51" i="1"/>
  <c r="E58" i="42"/>
  <c r="H52" i="42"/>
  <c r="H55" i="42" s="1"/>
  <c r="H54" i="2"/>
  <c r="T4" i="1"/>
  <c r="AE4" i="1" s="1"/>
  <c r="C67" i="1" l="1"/>
  <c r="D69" i="1"/>
  <c r="D71" i="1" s="1"/>
  <c r="H54" i="42"/>
  <c r="AD4" i="1"/>
  <c r="D5" i="42"/>
  <c r="E55" i="42" s="1"/>
  <c r="T34" i="1"/>
  <c r="AE34" i="1" s="1"/>
  <c r="S4" i="1"/>
  <c r="F55" i="42" l="1"/>
  <c r="AD34" i="1"/>
  <c r="S34" i="1"/>
  <c r="E8" i="21"/>
  <c r="E9" i="21" s="1"/>
  <c r="D4" i="57"/>
  <c r="D5" i="57" s="1"/>
  <c r="B50" i="50"/>
  <c r="B51" i="50" l="1"/>
  <c r="B52" i="50"/>
  <c r="H54" i="50" l="1"/>
  <c r="H57" i="50" s="1"/>
  <c r="H56" i="50" l="1"/>
  <c r="K14" i="24"/>
  <c r="K16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tc={0E866523-E45A-4FF1-BCAC-8A2D14D71FFF}</author>
  </authors>
  <commentList>
    <comment ref="C25" authorId="0" shapeId="0" xr:uid="{0E866523-E45A-4FF1-BCAC-8A2D14D71FFF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Kirk, change headcount to 0.5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tc={231B6D22-2BD6-9440-9BFC-8F765F7E24F8}</author>
  </authors>
  <commentList>
    <comment ref="C23" authorId="0" shapeId="0" xr:uid="{231B6D22-2BD6-9440-9BFC-8F765F7E24F8}">
      <text>
        <t>[Threaded comment]
Your version of Excel allows you to read this threaded comment; however, any edits to it will get removed if the file is opened in a newer version of Excel. Learn more: https://go.microsoft.com/fwlink/?linkid=870924
Comment:
    0.5 FTF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tc={9E804FE6-F52B-4B12-879F-7BE92F9F86BF}</author>
  </authors>
  <commentList>
    <comment ref="C25" authorId="0" shapeId="0" xr:uid="{9E804FE6-F52B-4B12-879F-7BE92F9F86BF}">
      <text>
        <t>[Threaded comment]
Your version of Excel allows you to read this threaded comment; however, any edits to it will get removed if the file is opened in a newer version of Excel. Learn more: https://go.microsoft.com/fwlink/?linkid=870924
Comment:
    0.25/Poli - 0.75/SOE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tc={B3341F9A-2491-494C-885F-5811D56C3423}</author>
    <author>tc={2628AA2D-B2F5-41E1-A993-FD437BFE148F}</author>
  </authors>
  <commentList>
    <comment ref="A52" authorId="0" shapeId="0" xr:uid="{B3341F9A-2491-494C-885F-5811D56C3423}">
      <text>
        <t>[Threaded comment]
Your version of Excel allows you to read this threaded comment; however, any edits to it will get removed if the file is opened in a newer version of Excel. Learn more: https://go.microsoft.com/fwlink/?linkid=870924
Comment:
    Deleted from TTF List-Status Unknown</t>
      </text>
    </comment>
    <comment ref="A143" authorId="1" shapeId="0" xr:uid="{2628AA2D-B2F5-41E1-A993-FD437BFE148F}">
      <text>
        <t>[Threaded comment]
Your version of Excel allows you to read this threaded comment; however, any edits to it will get removed if the file is opened in a newer version of Excel. Learn more: https://go.microsoft.com/fwlink/?linkid=870924
Comment:
    Deleted from TTF List-Unknown Status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Bravo, Rosa</author>
    <author>tc={99780A91-4EC9-49CE-9D1C-1798C64DFD7F}</author>
  </authors>
  <commentList>
    <comment ref="D40" authorId="0" shapeId="0" xr:uid="{8F85CB3F-26AA-4BCB-8053-32AF6A476773}">
      <text>
        <r>
          <rPr>
            <b/>
            <sz val="9"/>
            <color indexed="81"/>
            <rFont val="Tahoma"/>
            <family val="2"/>
          </rPr>
          <t>Bravo, Rosa:</t>
        </r>
        <r>
          <rPr>
            <sz val="9"/>
            <color indexed="81"/>
            <rFont val="Tahoma"/>
            <family val="2"/>
          </rPr>
          <t xml:space="preserve">
RSP award recipient
</t>
        </r>
      </text>
    </comment>
    <comment ref="F80" authorId="1" shapeId="0" xr:uid="{99780A91-4EC9-49CE-9D1C-1798C64DFD7F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PER HISTORY:  University Experience Program Director</t>
      </text>
    </comment>
    <comment ref="G80" authorId="0" shapeId="0" xr:uid="{23D7002B-A843-4CEF-A376-930E0DF76891}">
      <text>
        <r>
          <rPr>
            <b/>
            <sz val="9"/>
            <color indexed="81"/>
            <rFont val="Tahoma"/>
            <family val="2"/>
          </rPr>
          <t>Bravo, Rosa:</t>
        </r>
        <r>
          <rPr>
            <sz val="9"/>
            <color indexed="81"/>
            <rFont val="Tahoma"/>
            <family val="2"/>
          </rPr>
          <t xml:space="preserve">
TEMP position</t>
        </r>
      </text>
    </comment>
    <comment ref="G90" authorId="0" shapeId="0" xr:uid="{9968617B-D50F-4684-A5F1-48A0595B8AB0}">
      <text>
        <r>
          <rPr>
            <b/>
            <sz val="9"/>
            <color indexed="81"/>
            <rFont val="Tahoma"/>
            <family val="2"/>
          </rPr>
          <t>Bravo, Rosa:</t>
        </r>
        <r>
          <rPr>
            <sz val="9"/>
            <color indexed="81"/>
            <rFont val="Tahoma"/>
            <family val="2"/>
          </rPr>
          <t xml:space="preserve">
Temporary Position Not PERM 
</t>
        </r>
      </text>
    </comment>
  </commentList>
</comments>
</file>

<file path=xl/sharedStrings.xml><?xml version="1.0" encoding="utf-8"?>
<sst xmlns="http://schemas.openxmlformats.org/spreadsheetml/2006/main" count="6421" uniqueCount="1508">
  <si>
    <t>College WTU and Fiscal Dashboard</t>
  </si>
  <si>
    <t>Fall FT Headcount</t>
  </si>
  <si>
    <t>Spring FT Headcount</t>
  </si>
  <si>
    <t>Annual T/TT Headcount</t>
  </si>
  <si>
    <t xml:space="preserve">Input - MINUS FT Lect </t>
  </si>
  <si>
    <t>Inpute -MINUS FT Lect</t>
  </si>
  <si>
    <t>Annual FTEF</t>
  </si>
  <si>
    <t>T/TT Headcount</t>
  </si>
  <si>
    <t>Est. Annual Tenure Density</t>
  </si>
  <si>
    <t>Fall FTEF</t>
  </si>
  <si>
    <t>Spring FTEF</t>
  </si>
  <si>
    <t>Est. Fall Tenure Density</t>
  </si>
  <si>
    <t>Est. Spring Tenure Density</t>
  </si>
  <si>
    <t>Annual Lecturer Salaries</t>
  </si>
  <si>
    <t>Fall Lect FTEF</t>
  </si>
  <si>
    <t>Spring Lect FTEF</t>
  </si>
  <si>
    <t>Fall Lect Salaries</t>
  </si>
  <si>
    <t>Spring Lect Salaries</t>
  </si>
  <si>
    <t>Total Dean/Dept Reassigned WTUs</t>
  </si>
  <si>
    <t>Fall Target WTUs</t>
  </si>
  <si>
    <t>Spring Target WTUs</t>
  </si>
  <si>
    <t>Total External Reassigned WTUs</t>
  </si>
  <si>
    <t>Fall Actual WTUs</t>
  </si>
  <si>
    <t>Spring Actual WTUs</t>
  </si>
  <si>
    <t>Total Reassigned WTUs</t>
  </si>
  <si>
    <t>Fall Difference</t>
  </si>
  <si>
    <t>Spring Difference</t>
  </si>
  <si>
    <t>College Resources Allocated by Dean and Department</t>
  </si>
  <si>
    <t>Total AY Dean WTU Allocation</t>
  </si>
  <si>
    <t>Allocated to Date</t>
  </si>
  <si>
    <t>Remaining / (Deficit)</t>
  </si>
  <si>
    <t>Sum Fall and Spring</t>
  </si>
  <si>
    <t>Sum from worksheets</t>
  </si>
  <si>
    <t>Error Checking (Net to Zero)</t>
  </si>
  <si>
    <t>#</t>
  </si>
  <si>
    <r>
      <rPr>
        <b/>
        <sz val="12"/>
        <color rgb="FFFF0000"/>
        <rFont val="Calibri"/>
        <family val="2"/>
        <scheme val="minor"/>
      </rPr>
      <t>Select</t>
    </r>
    <r>
      <rPr>
        <b/>
        <sz val="12"/>
        <color theme="0"/>
        <rFont val="Calibri"/>
        <family val="2"/>
        <scheme val="minor"/>
      </rPr>
      <t xml:space="preserve"> - Faculty Name</t>
    </r>
  </si>
  <si>
    <t>POSN</t>
  </si>
  <si>
    <t>Department Desc.</t>
  </si>
  <si>
    <t>Enter 
Fall WTU</t>
  </si>
  <si>
    <t>Enter 
Spring WTU</t>
  </si>
  <si>
    <r>
      <rPr>
        <b/>
        <sz val="12"/>
        <color rgb="FFFF0000"/>
        <rFont val="Calibri"/>
        <family val="2"/>
        <scheme val="minor"/>
      </rPr>
      <t>Select</t>
    </r>
    <r>
      <rPr>
        <b/>
        <sz val="12"/>
        <color theme="0"/>
        <rFont val="Calibri"/>
        <family val="2"/>
        <scheme val="minor"/>
      </rPr>
      <t xml:space="preserve"> - Funding Source</t>
    </r>
  </si>
  <si>
    <r>
      <rPr>
        <b/>
        <sz val="12"/>
        <color rgb="FFFF0000"/>
        <rFont val="Calibri"/>
        <family val="2"/>
        <scheme val="minor"/>
      </rPr>
      <t>Select</t>
    </r>
    <r>
      <rPr>
        <b/>
        <sz val="12"/>
        <color theme="0"/>
        <rFont val="Calibri"/>
        <family val="2"/>
        <scheme val="minor"/>
      </rPr>
      <t xml:space="preserve"> - Project Type</t>
    </r>
  </si>
  <si>
    <t>Abdolee, Reza</t>
  </si>
  <si>
    <t>Dean</t>
  </si>
  <si>
    <t>Curriculum</t>
  </si>
  <si>
    <t xml:space="preserve"> </t>
  </si>
  <si>
    <t>Externally Funded Course Reassignment</t>
  </si>
  <si>
    <t>FTEF</t>
  </si>
  <si>
    <t>SFR</t>
  </si>
  <si>
    <t>FTES</t>
  </si>
  <si>
    <t>TOTAL AY WTUs</t>
  </si>
  <si>
    <t>Anthropology</t>
  </si>
  <si>
    <t>Art</t>
  </si>
  <si>
    <t>Biology</t>
  </si>
  <si>
    <t>Chemistry</t>
  </si>
  <si>
    <t>Chicano/A Studies</t>
  </si>
  <si>
    <t>Communication</t>
  </si>
  <si>
    <t>Computer Science</t>
  </si>
  <si>
    <t>Mechatronics Engineering</t>
  </si>
  <si>
    <t> </t>
  </si>
  <si>
    <t>English</t>
  </si>
  <si>
    <t>ESRM</t>
  </si>
  <si>
    <t>Geology</t>
  </si>
  <si>
    <t>Global Languages</t>
  </si>
  <si>
    <t>Spanish</t>
  </si>
  <si>
    <t>Health Sciences</t>
  </si>
  <si>
    <t>History</t>
  </si>
  <si>
    <t>Math</t>
  </si>
  <si>
    <t>Nursing</t>
  </si>
  <si>
    <t>Performing Arts</t>
  </si>
  <si>
    <t>Theater Arts</t>
  </si>
  <si>
    <t>Dance</t>
  </si>
  <si>
    <t>Music</t>
  </si>
  <si>
    <t>Philosophy</t>
  </si>
  <si>
    <t>Physics</t>
  </si>
  <si>
    <t>Global Studies</t>
  </si>
  <si>
    <t>Psychology</t>
  </si>
  <si>
    <t>Sociology</t>
  </si>
  <si>
    <t>REDUCTION</t>
  </si>
  <si>
    <t>Arts and Sciences AY 24-25 Instructional Budget</t>
  </si>
  <si>
    <t>AY 2023-24 Actual</t>
  </si>
  <si>
    <t>Proposed AY 24-25</t>
  </si>
  <si>
    <t>2023-24 Proposed</t>
  </si>
  <si>
    <t>Fall 2024</t>
  </si>
  <si>
    <t>Fall 2023 Adjustments</t>
  </si>
  <si>
    <t>Final Fall 2024 Targets</t>
  </si>
  <si>
    <t>Proposed Spring 2025</t>
  </si>
  <si>
    <t>Spring 2025 Adjustments</t>
  </si>
  <si>
    <t>Final Spring 2025 Targets</t>
  </si>
  <si>
    <t>Final AY 24-25 TARGET</t>
  </si>
  <si>
    <t>COMMENTS</t>
  </si>
  <si>
    <t>23-24 SFR</t>
  </si>
  <si>
    <t>Fall FTES</t>
  </si>
  <si>
    <t>Spring FTES</t>
  </si>
  <si>
    <t>Annual FTES</t>
  </si>
  <si>
    <t>ACAD FTES</t>
  </si>
  <si>
    <t>% differential</t>
  </si>
  <si>
    <t>Africana/Black Studies</t>
  </si>
  <si>
    <t>Computer Science/Mechatronics Eng.</t>
  </si>
  <si>
    <t>Political Science/Global Studies</t>
  </si>
  <si>
    <t>Dean Pool</t>
  </si>
  <si>
    <t>Provost Assignment</t>
  </si>
  <si>
    <t>Dean Allocation Used for:</t>
  </si>
  <si>
    <t>Instructional Backfill:</t>
  </si>
  <si>
    <t>Accreditation Role (School)</t>
  </si>
  <si>
    <t xml:space="preserve">Check: </t>
  </si>
  <si>
    <t xml:space="preserve">WTU: </t>
  </si>
  <si>
    <t>Total WTU $</t>
  </si>
  <si>
    <t>Advising</t>
  </si>
  <si>
    <t>Est TTF FTEF</t>
  </si>
  <si>
    <t>Committee Service (School)</t>
  </si>
  <si>
    <t>Coordinator (Lab/Class)</t>
  </si>
  <si>
    <t>FTEF Backfill Needed</t>
  </si>
  <si>
    <t>Coordinator (Program)</t>
  </si>
  <si>
    <t>Est $ Backfill</t>
  </si>
  <si>
    <t>Course Prep Release (School)</t>
  </si>
  <si>
    <t>Credit by Exam/Eval</t>
  </si>
  <si>
    <t>Reassignment Backfill:</t>
  </si>
  <si>
    <t>Curriculum (Plan/Dev)</t>
  </si>
  <si>
    <t xml:space="preserve">RT: </t>
  </si>
  <si>
    <t>Excess Units</t>
  </si>
  <si>
    <t>External Buyouts:</t>
  </si>
  <si>
    <t>Instructional Grad Support</t>
  </si>
  <si>
    <t>Chair:</t>
  </si>
  <si>
    <t>K-12 In-Service</t>
  </si>
  <si>
    <t xml:space="preserve">Dean Pool: </t>
  </si>
  <si>
    <t>Library Part-Time Faculty</t>
  </si>
  <si>
    <t>NTTF RT (Includes Dean RT)</t>
  </si>
  <si>
    <t>Program Review</t>
  </si>
  <si>
    <t>Total NTTF Backfill</t>
  </si>
  <si>
    <t>SOE Residency Liaison</t>
  </si>
  <si>
    <t xml:space="preserve">Total WTU: </t>
  </si>
  <si>
    <t>Special Project (Dean)</t>
  </si>
  <si>
    <t>Team Teaching</t>
  </si>
  <si>
    <t>Provost/External Allocation Used for:</t>
  </si>
  <si>
    <t>Mitch's Calculations</t>
  </si>
  <si>
    <t>Accreditation Role (Division)</t>
  </si>
  <si>
    <t>WTUs</t>
  </si>
  <si>
    <t>$$$</t>
  </si>
  <si>
    <t>CFA Release</t>
  </si>
  <si>
    <t>School Total</t>
  </si>
  <si>
    <t>Committee Service (Campus)</t>
  </si>
  <si>
    <t>Committee Service (Division)</t>
  </si>
  <si>
    <t>TTF Headcount</t>
  </si>
  <si>
    <t>Course Prep Release (Division)</t>
  </si>
  <si>
    <t>NTFF FTEF</t>
  </si>
  <si>
    <t>Curriculum (Assessment)</t>
  </si>
  <si>
    <t xml:space="preserve">TOTAL NTFF </t>
  </si>
  <si>
    <t>Exceptional Service</t>
  </si>
  <si>
    <t>Ext Univ Buy-Out (Teaching)</t>
  </si>
  <si>
    <t>Ext Reimbursed WTUS</t>
  </si>
  <si>
    <t>Ext Univ Release (Admin)</t>
  </si>
  <si>
    <t>Net to School All Sources</t>
  </si>
  <si>
    <t>&lt;This is the potential amount to be transferred from all sources above and beyond the Dean's Pool — should all be external sources</t>
  </si>
  <si>
    <t>Faculty Director</t>
  </si>
  <si>
    <t>Grant/Award (External)</t>
  </si>
  <si>
    <t xml:space="preserve">TOTAL PAID NTTF WTUs </t>
  </si>
  <si>
    <t>&lt;This equals NTTF Instuctional plus NTTF Dept, Dean, and external -- should equal actual NTTF salary</t>
  </si>
  <si>
    <t>Inst Facility Planning</t>
  </si>
  <si>
    <t>From "Budget"</t>
  </si>
  <si>
    <t>&lt;Positive numbers only -- would E30 normallly</t>
  </si>
  <si>
    <t>Leave of Absence</t>
  </si>
  <si>
    <t>All Other Sources</t>
  </si>
  <si>
    <t>&lt;Net -- note only a portion of this is from Provost or Salary Savings</t>
  </si>
  <si>
    <t>MVS Release</t>
  </si>
  <si>
    <t>EU, Grants, etc</t>
  </si>
  <si>
    <t>New Faculty Release</t>
  </si>
  <si>
    <t>From Provost "Salary Savings"</t>
  </si>
  <si>
    <t>RSCA (External)</t>
  </si>
  <si>
    <t>RSCA (Internal)</t>
  </si>
  <si>
    <t>Sabbatical Leave</t>
  </si>
  <si>
    <t>Senate Chair Release</t>
  </si>
  <si>
    <t>Senate Service Release</t>
  </si>
  <si>
    <t>Special Project (Campus)</t>
  </si>
  <si>
    <t>Special Project (Provost)</t>
  </si>
  <si>
    <t>Departments Allocation Used for:</t>
  </si>
  <si>
    <t>Dept Chair- 12 mo</t>
  </si>
  <si>
    <t>Dept Chair- AY</t>
  </si>
  <si>
    <t>Large Section</t>
  </si>
  <si>
    <t>AY 23-24 Instructional Budget</t>
  </si>
  <si>
    <t>External Buyout</t>
  </si>
  <si>
    <t>Department/Program:</t>
  </si>
  <si>
    <t>FALL</t>
  </si>
  <si>
    <t>TTF Headcount FALL</t>
  </si>
  <si>
    <r>
      <t xml:space="preserve">Step 1 </t>
    </r>
    <r>
      <rPr>
        <b/>
        <sz val="12"/>
        <color rgb="FF000000"/>
        <rFont val="Calibri"/>
        <family val="2"/>
        <scheme val="minor"/>
      </rPr>
      <t xml:space="preserve">- Confirm TTF headcount. </t>
    </r>
  </si>
  <si>
    <t>Fall FTES Target</t>
  </si>
  <si>
    <t>SPRING</t>
  </si>
  <si>
    <t>TTF Headcount SPRING</t>
  </si>
  <si>
    <t>Spring FTES Target</t>
  </si>
  <si>
    <t>Course Reassignment</t>
  </si>
  <si>
    <t>Dept = Department assignments</t>
  </si>
  <si>
    <t>Dean = College supported reassigned time (refer to "overview" tab for list of uses)</t>
  </si>
  <si>
    <t>External = Provost, 2YR CBA, sabbaticals, grants, leaves, etc</t>
  </si>
  <si>
    <t xml:space="preserve">Fall </t>
  </si>
  <si>
    <t>Spring</t>
  </si>
  <si>
    <r>
      <rPr>
        <b/>
        <sz val="12"/>
        <color rgb="FFFF0000"/>
        <rFont val="Calibri"/>
        <family val="2"/>
        <scheme val="minor"/>
      </rPr>
      <t>Select/Enter</t>
    </r>
    <r>
      <rPr>
        <b/>
        <sz val="12"/>
        <color theme="1"/>
        <rFont val="Calibri"/>
        <family val="2"/>
        <scheme val="minor"/>
      </rPr>
      <t xml:space="preserve"> - FULL TIME Faculty Name </t>
    </r>
  </si>
  <si>
    <t>Dept</t>
  </si>
  <si>
    <t>External</t>
  </si>
  <si>
    <t xml:space="preserve">Dean </t>
  </si>
  <si>
    <t>NOTES</t>
  </si>
  <si>
    <t>Delaney, Colleen</t>
  </si>
  <si>
    <t>Fall: 6/Chair; Spring: 6/Chair</t>
  </si>
  <si>
    <t>Fall: 6/Chair submitted 7/16 LM</t>
  </si>
  <si>
    <t>Kuzminsky, Susan</t>
  </si>
  <si>
    <t>Fall: 3/Advising</t>
  </si>
  <si>
    <t>Fall: 3/Advising submitted 7/16LM</t>
  </si>
  <si>
    <t>Matera Sabbagh, Jaime</t>
  </si>
  <si>
    <t>Fall: 12/Sabbatical; Spring: 3/RSCA R0178</t>
  </si>
  <si>
    <t>Fall: 12/Sabbatical submitted 7/16LM</t>
  </si>
  <si>
    <t>TOTAL FT</t>
  </si>
  <si>
    <r>
      <rPr>
        <b/>
        <sz val="12"/>
        <color rgb="FFFF0000"/>
        <rFont val="Calibri"/>
        <family val="2"/>
        <scheme val="minor"/>
      </rPr>
      <t>Select/ Enter</t>
    </r>
    <r>
      <rPr>
        <b/>
        <sz val="12"/>
        <color theme="1"/>
        <rFont val="Calibri"/>
        <family val="2"/>
        <scheme val="minor"/>
      </rPr>
      <t xml:space="preserve"> PART TIME Faculty Name</t>
    </r>
  </si>
  <si>
    <t>Abramiuk, Marc Alexander</t>
  </si>
  <si>
    <t>Curtis, Matthew</t>
  </si>
  <si>
    <t xml:space="preserve">Olsthoorn, Rachel </t>
  </si>
  <si>
    <t>TOTAL PT</t>
  </si>
  <si>
    <t>TOTAL AY</t>
  </si>
  <si>
    <t>Scheduling Notes</t>
  </si>
  <si>
    <t>Estimated Number of TTF WTUs:</t>
  </si>
  <si>
    <t>Estimated Number of Reimbursed TTF WTUs:</t>
  </si>
  <si>
    <t>Estimated Number of NTTF WTUs:</t>
  </si>
  <si>
    <t>Total WTUs</t>
  </si>
  <si>
    <t>Adjustments (move between Fall and Spring):</t>
  </si>
  <si>
    <t>TARGET WTUs</t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</si>
  <si>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theme="1"/>
        <rFont val="Calibri"/>
        <family val="2"/>
        <scheme val="minor"/>
      </rPr>
      <t xml:space="preserve"> Scheduled</t>
    </r>
  </si>
  <si>
    <t>8.19.24</t>
  </si>
  <si>
    <t>Variance</t>
  </si>
  <si>
    <t>Average Class Size</t>
  </si>
  <si>
    <t>TOTAL NTTF WTUs</t>
  </si>
  <si>
    <t>&lt;Equals WTUs that result in a salary -- sum of contracts for AY should equal this number</t>
  </si>
  <si>
    <t>Count</t>
  </si>
  <si>
    <t>Employee Name</t>
  </si>
  <si>
    <t>AY 2024-25 Contract Type</t>
  </si>
  <si>
    <t>Comp Rate</t>
  </si>
  <si>
    <t>Per Unit Rate</t>
  </si>
  <si>
    <t>Range</t>
  </si>
  <si>
    <t>F/P</t>
  </si>
  <si>
    <t>Priority 1</t>
  </si>
  <si>
    <t>Priority 2 (New &amp; Additional)</t>
  </si>
  <si>
    <t>Notes</t>
  </si>
  <si>
    <t>AY 24-25 Entitlement</t>
  </si>
  <si>
    <t>F24 WTU</t>
  </si>
  <si>
    <t>S25 WTU</t>
  </si>
  <si>
    <t>Entitlement Unmet</t>
  </si>
  <si>
    <t>Work Declined</t>
  </si>
  <si>
    <t>Years in 12.3 contract (comp)</t>
  </si>
  <si>
    <t>Olsthoorn,Rachel J</t>
  </si>
  <si>
    <t>3-year contract (12.12) – Year 3</t>
  </si>
  <si>
    <t>A</t>
  </si>
  <si>
    <t>PT</t>
  </si>
  <si>
    <t>n/a</t>
  </si>
  <si>
    <t>Curtis,Matthew</t>
  </si>
  <si>
    <t>3-year contract (12.12) – Year 2</t>
  </si>
  <si>
    <t>B</t>
  </si>
  <si>
    <t>Abramiuk,Marc Alexander</t>
  </si>
  <si>
    <t>Armanino,Daniel Carl</t>
  </si>
  <si>
    <t>Note: Comp Rate does not reflect the GSI eff July 2024</t>
  </si>
  <si>
    <t>from M. Gutierrez 7/10/24</t>
  </si>
  <si>
    <r>
      <t>Select/Enter</t>
    </r>
    <r>
      <rPr>
        <b/>
        <sz val="12"/>
        <color theme="1"/>
        <rFont val="Calibri"/>
        <family val="2"/>
        <scheme val="minor"/>
      </rPr>
      <t xml:space="preserve"> - FULL TIME Faculty Name </t>
    </r>
  </si>
  <si>
    <t>Avila, Mary</t>
  </si>
  <si>
    <t>Fall: 12/sabb; Spring: 3/advising 3/ Broome director</t>
  </si>
  <si>
    <t>Costache, Irina</t>
  </si>
  <si>
    <t>Spring: 12/FERP</t>
  </si>
  <si>
    <t>Delgado, Jasmine</t>
  </si>
  <si>
    <t>Fall: 3/advising ; Spring: 12/Sabb</t>
  </si>
  <si>
    <t>Furmanski, Matthew</t>
  </si>
  <si>
    <t>Fall: 1.2/SRIRS ; Spring 1.2/SRIRS</t>
  </si>
  <si>
    <t>King, Lizabeth</t>
  </si>
  <si>
    <t>Fall: 3/ Program Review</t>
  </si>
  <si>
    <t>Matjas, Luke</t>
  </si>
  <si>
    <t>Fall: 3/  NAPA Director</t>
  </si>
  <si>
    <t>McGrath, Marianne</t>
  </si>
  <si>
    <t>Fall: 7.2/Chair; Spring: 7.8/Chair</t>
  </si>
  <si>
    <t>Perchuk, Alison</t>
  </si>
  <si>
    <t>Fall: 3/CIS Director 3/Chair of AEBC; Spring 3/CIS Director 3/Chair of AEBC</t>
  </si>
  <si>
    <t>Quiroz, Simon</t>
  </si>
  <si>
    <r>
      <t>Select/ Enter</t>
    </r>
    <r>
      <rPr>
        <b/>
        <sz val="12"/>
        <color theme="1"/>
        <rFont val="Calibri"/>
        <family val="2"/>
        <scheme val="minor"/>
      </rPr>
      <t xml:space="preserve"> PART TIME Faculty Name</t>
    </r>
  </si>
  <si>
    <t>Ellis,Catherine</t>
  </si>
  <si>
    <t>Fall: 3/ NTTF Research Fellow; Spring: 3/ NTTF Research Fellow</t>
  </si>
  <si>
    <r>
      <t>Enter</t>
    </r>
    <r>
      <rPr>
        <b/>
        <sz val="14"/>
        <color theme="1"/>
        <rFont val="Calibri"/>
        <family val="2"/>
        <scheme val="minor"/>
      </rPr>
      <t xml:space="preserve"> Scheduled</t>
    </r>
  </si>
  <si>
    <t>COUNT</t>
  </si>
  <si>
    <t>AY 2023-24 Contract Type</t>
  </si>
  <si>
    <t>AY 23-24 Entitlement</t>
  </si>
  <si>
    <t>WTU</t>
  </si>
  <si>
    <t>Kubitza,Anette Gefion</t>
  </si>
  <si>
    <t>C</t>
  </si>
  <si>
    <t>FT</t>
  </si>
  <si>
    <t>Valentine,Aurora S</t>
  </si>
  <si>
    <t>3-year contract (12.12) – Year 1</t>
  </si>
  <si>
    <t>She declined 2 ART 102 courses assigned to her Fall '22</t>
  </si>
  <si>
    <t>Coughran,Sharon Meg</t>
  </si>
  <si>
    <t>Insufficient courses; Salary includes range elevation eff Fall 2022</t>
  </si>
  <si>
    <t>Figueroa,Aldo N</t>
  </si>
  <si>
    <t>Harper,Peter Matthew</t>
  </si>
  <si>
    <t>Lloyd,Leslie Ann</t>
  </si>
  <si>
    <t>Insufficient courses</t>
  </si>
  <si>
    <t>Garcia,Ryan Austin</t>
  </si>
  <si>
    <t>Bourely,Christophe Dominique</t>
  </si>
  <si>
    <t>Lugo,Denise I</t>
  </si>
  <si>
    <t>Rehired Annuitant; No more than 
9 WTU per AY</t>
  </si>
  <si>
    <t>Taschian,Helen</t>
  </si>
  <si>
    <t>1-year contract (12.3)</t>
  </si>
  <si>
    <t>7a</t>
  </si>
  <si>
    <t>4 semester</t>
  </si>
  <si>
    <t>Higami Glover,Yumiko</t>
  </si>
  <si>
    <t>3rd year</t>
  </si>
  <si>
    <t>Keller,Patricia Marie</t>
  </si>
  <si>
    <t>New Fall 2022 Hire</t>
  </si>
  <si>
    <t>2 semester</t>
  </si>
  <si>
    <t>Wong,Jordan</t>
  </si>
  <si>
    <t>Rosdahl,Timothy</t>
  </si>
  <si>
    <t>Semester</t>
  </si>
  <si>
    <t>7b</t>
  </si>
  <si>
    <t>Termed Fall 2022; Returned Spring 2023</t>
  </si>
  <si>
    <t>2nd year</t>
  </si>
  <si>
    <t>Jahnke,Adam</t>
  </si>
  <si>
    <t>New Hire Spring 2023</t>
  </si>
  <si>
    <t>New Hire SP23</t>
  </si>
  <si>
    <t>Beck,Jarrod</t>
  </si>
  <si>
    <t>Lytle,Larry</t>
  </si>
  <si>
    <t>Termed Spring 2023</t>
  </si>
  <si>
    <t>Gleason,Joshua Phillip</t>
  </si>
  <si>
    <t>Termed Fall 2022</t>
  </si>
  <si>
    <t>Hill,Leann</t>
  </si>
  <si>
    <t xml:space="preserve">   confirmed 6/20</t>
  </si>
  <si>
    <t>Alarcon, Ruben</t>
  </si>
  <si>
    <t>Fall: 1 Advising</t>
  </si>
  <si>
    <t>Alvarado, Allison</t>
  </si>
  <si>
    <t>Fall: 3/NSF BRC BIO, 1 /Advising</t>
  </si>
  <si>
    <t>Becerra, Caryl Ann</t>
  </si>
  <si>
    <r>
      <rPr>
        <b/>
        <sz val="12"/>
        <color rgb="FF000000"/>
        <rFont val="Calibri"/>
        <family val="2"/>
      </rPr>
      <t>Fall: 3/ NTTF</t>
    </r>
    <r>
      <rPr>
        <sz val="12"/>
        <color rgb="FF000000"/>
        <rFont val="Calibri"/>
        <family val="2"/>
      </rPr>
      <t>,</t>
    </r>
    <r>
      <rPr>
        <b/>
        <sz val="12"/>
        <color rgb="FF000000"/>
        <rFont val="Calibri"/>
        <family val="2"/>
      </rPr>
      <t xml:space="preserve"> 3/LSAMP Director, 3/Large Section </t>
    </r>
    <r>
      <rPr>
        <sz val="12"/>
        <color rgb="FF000000"/>
        <rFont val="Calibri"/>
        <family val="2"/>
      </rPr>
      <t xml:space="preserve">; Spring: 3/LSAMP Director  </t>
    </r>
  </si>
  <si>
    <t>Denton, Amy</t>
  </si>
  <si>
    <t>Fall:1/Lab Coordinator</t>
  </si>
  <si>
    <t>Dilly, Geoffrey</t>
  </si>
  <si>
    <t>Fleming, Erich</t>
  </si>
  <si>
    <r>
      <rPr>
        <b/>
        <sz val="12"/>
        <color rgb="FF000000"/>
        <rFont val="Calibri"/>
        <family val="2"/>
      </rPr>
      <t>Fall: 6/Chair;</t>
    </r>
    <r>
      <rPr>
        <sz val="12"/>
        <color rgb="FF000000"/>
        <rFont val="Calibri"/>
        <family val="2"/>
      </rPr>
      <t xml:space="preserve"> Spring: 6/Chair + 2 Additional </t>
    </r>
  </si>
  <si>
    <t>Harris, Gareth</t>
  </si>
  <si>
    <t>Mozingo, Nancy</t>
  </si>
  <si>
    <r>
      <rPr>
        <b/>
        <sz val="12"/>
        <color rgb="FF000000"/>
        <rFont val="Calibri"/>
        <family val="2"/>
      </rPr>
      <t>Fall: 1/Advising,</t>
    </r>
    <r>
      <rPr>
        <sz val="12"/>
        <color rgb="FF000000"/>
        <rFont val="Calibri"/>
        <family val="2"/>
      </rPr>
      <t xml:space="preserve"> 1/Scheduling</t>
    </r>
  </si>
  <si>
    <t>Parmar, Nitika</t>
  </si>
  <si>
    <t>Fall: 3 IAF Special Project, 3/IRB chair</t>
  </si>
  <si>
    <t>Tapia, Hugo</t>
  </si>
  <si>
    <r>
      <rPr>
        <b/>
        <sz val="12"/>
        <color rgb="FF000000"/>
        <rFont val="Calibri"/>
        <family val="2"/>
      </rPr>
      <t>Fall: Grant 2/NSF WALII, 9/LOA</t>
    </r>
    <r>
      <rPr>
        <sz val="12"/>
        <color rgb="FF000000"/>
        <rFont val="Calibri"/>
        <family val="2"/>
      </rPr>
      <t xml:space="preserve">; Spring  Grant8/NSF WALII.   </t>
    </r>
  </si>
  <si>
    <t>von May, Rudolf</t>
  </si>
  <si>
    <r>
      <rPr>
        <b/>
        <sz val="12"/>
        <color rgb="FF000000"/>
        <rFont val="Calibri"/>
        <family val="2"/>
      </rPr>
      <t>Fall: 3/NSF BRC BIO</t>
    </r>
    <r>
      <rPr>
        <sz val="12"/>
        <color rgb="FF000000"/>
        <rFont val="Calibri"/>
        <family val="2"/>
      </rPr>
      <t>; Spring: 3/NSF BRC BIO</t>
    </r>
  </si>
  <si>
    <t>TBD</t>
  </si>
  <si>
    <t>AY 24-25:  Fall: 3WTUS  Spring: 6 WTUS</t>
  </si>
  <si>
    <t>AY 24-25: Fall: 2/Lab Coordinator Spring: 4/Lab Coordinator</t>
  </si>
  <si>
    <t>Profant, Lorna</t>
  </si>
  <si>
    <t>Fall: 1/Lab Coordinator, 3/Large Section</t>
  </si>
  <si>
    <t>Htway,Zin Maung</t>
  </si>
  <si>
    <t>Add comments here.                                                                                    C.Becerra LSAMP 6 AY Units until  AY27-28,                                                         H. Tapia  NSF WALII 10ay units until AY26-27</t>
  </si>
  <si>
    <t>Andreoli,Shannon Lynn</t>
  </si>
  <si>
    <t>Aquino,Bryn Alexis</t>
  </si>
  <si>
    <t xml:space="preserve">Becerra, Caryl Ann </t>
  </si>
  <si>
    <t>Hired TTF eff Fall 2022</t>
  </si>
  <si>
    <t>Christensen,Constance Marie</t>
  </si>
  <si>
    <t>Retired Fall 2022</t>
  </si>
  <si>
    <t>Cunningham,Cameron R</t>
  </si>
  <si>
    <t>New Hire Fall 2022</t>
  </si>
  <si>
    <t>2 semesters</t>
  </si>
  <si>
    <t>Dalton,Jessica I</t>
  </si>
  <si>
    <t>French,Renee A</t>
  </si>
  <si>
    <t>Hales,Katrina</t>
  </si>
  <si>
    <t>Newly eligible 12.12 eff Fall 2023</t>
  </si>
  <si>
    <t>Hutchinson,Catherine E</t>
  </si>
  <si>
    <t>Huvard,Elizabeth Hannah</t>
  </si>
  <si>
    <t>Mccarley,Ashley E</t>
  </si>
  <si>
    <t>Norris,Steven M</t>
  </si>
  <si>
    <t>D</t>
  </si>
  <si>
    <t>Profant,Lorna P</t>
  </si>
  <si>
    <t>Sackerson,Charles M</t>
  </si>
  <si>
    <t xml:space="preserve">Schmidhauser, Tom </t>
  </si>
  <si>
    <t>Standish,Julie</t>
  </si>
  <si>
    <t>Resigned Spring 2023 - Prof Dev</t>
  </si>
  <si>
    <t>Swig,Bryan A</t>
  </si>
  <si>
    <t>Termed Fall 2022; Now Staff</t>
  </si>
  <si>
    <t>Thomas,Daniel</t>
  </si>
  <si>
    <t>New Hire Spring 2022</t>
  </si>
  <si>
    <t>3 semesters</t>
  </si>
  <si>
    <t>Wheeler,Christopher W</t>
  </si>
  <si>
    <t>Zhao,Chunnian</t>
  </si>
  <si>
    <t>Harris, Cameron</t>
  </si>
  <si>
    <t>Vines, Eva</t>
  </si>
  <si>
    <t>Fall: Ethnic Studies Fellowship 6 units</t>
  </si>
  <si>
    <t>Cosby, Katherine</t>
  </si>
  <si>
    <t>Fall: RSCA 3 units</t>
  </si>
  <si>
    <t>Add comments here.</t>
  </si>
  <si>
    <r>
      <t>Select/Enter</t>
    </r>
    <r>
      <rPr>
        <b/>
        <sz val="12"/>
        <color rgb="FF000000"/>
        <rFont val="Calibri"/>
        <family val="2"/>
      </rPr>
      <t xml:space="preserve"> - FULL TIME Faculty Name </t>
    </r>
  </si>
  <si>
    <t>SPRING NOTES</t>
  </si>
  <si>
    <t>Awad, Ahmed</t>
  </si>
  <si>
    <t>Gillespie, David</t>
  </si>
  <si>
    <t>6/FL2024-CHAIR</t>
  </si>
  <si>
    <t>6/SP2025-CHAIR</t>
  </si>
  <si>
    <t>Vaughn, Ariel</t>
  </si>
  <si>
    <t>1/FL2024-Coordination | 1/FL2024-Provost RSCA Internal</t>
  </si>
  <si>
    <t>2/SP2025-Provost RSCA Internal | 3 Exceptional Release | 1 Coordination</t>
  </si>
  <si>
    <t>Veldman, Brittnee</t>
  </si>
  <si>
    <t xml:space="preserve">1/FL2024-CFA </t>
  </si>
  <si>
    <t>SP2025-CFA</t>
  </si>
  <si>
    <r>
      <t>Select/ Enter</t>
    </r>
    <r>
      <rPr>
        <b/>
        <sz val="12"/>
        <color rgb="FF000000"/>
        <rFont val="Calibri"/>
        <family val="2"/>
      </rPr>
      <t xml:space="preserve"> PART TIME Faculty Name</t>
    </r>
  </si>
  <si>
    <t>Bernardino,Lucinda</t>
  </si>
  <si>
    <t>Burnside,Michael Anthony</t>
  </si>
  <si>
    <t>Carrillo,Nancy</t>
  </si>
  <si>
    <t>Crisostomo,VincentMark</t>
  </si>
  <si>
    <t>D'Angelo,Noel Dominic</t>
  </si>
  <si>
    <t>Deans,Nancy L</t>
  </si>
  <si>
    <t>XXX</t>
  </si>
  <si>
    <t>1/FL2024-Senate | ___ /FL2024-Provost NTTF Council</t>
  </si>
  <si>
    <t>Duffer,Scott Thomas</t>
  </si>
  <si>
    <t>Joseph,Crisjoe Abraham</t>
  </si>
  <si>
    <t>Khan,Safa Shakir-Shatnawi</t>
  </si>
  <si>
    <t>Kobrin,Michelle Stephens</t>
  </si>
  <si>
    <t>Kobrin,Paul</t>
  </si>
  <si>
    <t>Munroe,William Henry</t>
  </si>
  <si>
    <t>Ng,Benny Chun Hei</t>
  </si>
  <si>
    <t>Roushan,Mojgan</t>
  </si>
  <si>
    <t>Schulze,Thomas Joachim</t>
  </si>
  <si>
    <t>Silva Elipe,Maria Victoria</t>
  </si>
  <si>
    <t>Tejada,Hillary</t>
  </si>
  <si>
    <t>preliminary Spring RT notated in column K</t>
  </si>
  <si>
    <t>Range Elevation eff Fall 2022</t>
  </si>
  <si>
    <t>na</t>
  </si>
  <si>
    <t>Declined work SP23</t>
  </si>
  <si>
    <t>Insufficient courses SP23</t>
  </si>
  <si>
    <t>10 semesters</t>
  </si>
  <si>
    <t>Duffer,Scott</t>
  </si>
  <si>
    <t>FT Non-Exempt Staff; Kept active fo Fall 2023 return</t>
  </si>
  <si>
    <t>4th year</t>
  </si>
  <si>
    <t>Fall Only; Keep Active; GSI applied</t>
  </si>
  <si>
    <t>New Fall 2022 Hire; Kept active for Fall 2023 return</t>
  </si>
  <si>
    <t>1 semester</t>
  </si>
  <si>
    <t>GSI already applied; Kept active for Fall 2023 return</t>
  </si>
  <si>
    <t>Last taught Spring 2022 for 10 semesters; Break in AY22-23</t>
  </si>
  <si>
    <t>Woo,Mary Andrea</t>
  </si>
  <si>
    <t>Gomez,Osma</t>
  </si>
  <si>
    <t>Flesher,Robert James</t>
  </si>
  <si>
    <t>McNary,Joshua</t>
  </si>
  <si>
    <t>Alamillo, Jose</t>
  </si>
  <si>
    <t>Fall: CYS 3 units, Chair 6 units, Spring: 6 Chair units</t>
  </si>
  <si>
    <t>Centino, Nicholas</t>
  </si>
  <si>
    <t>Fall: Program Review/Self-Study 3 units Spring: Sabbatical 12</t>
  </si>
  <si>
    <t>Luna, Jennie</t>
  </si>
  <si>
    <t>Fall: Center Director 3 units Spring: Center Director 3 units</t>
  </si>
  <si>
    <t>Groat, Bridget</t>
  </si>
  <si>
    <t>Fall:  3/Curr Dev, 3/NTT; Spring:  3/Curr Dev, 3/NTT</t>
  </si>
  <si>
    <t>Tamai, Lily</t>
  </si>
  <si>
    <t>Academic Advising AY 3 units</t>
  </si>
  <si>
    <t>AY 22-23 Entitlement</t>
  </si>
  <si>
    <t>Moreno Campos,Raul Ernesto</t>
  </si>
  <si>
    <t>Jimenez,Cibonay</t>
  </si>
  <si>
    <t>8 semesters</t>
  </si>
  <si>
    <t>Villa Rosales,Elizabeth</t>
  </si>
  <si>
    <t>Can't teach face to face course</t>
  </si>
  <si>
    <t>4 semesters</t>
  </si>
  <si>
    <t>Serna,Elias</t>
  </si>
  <si>
    <t>Garcia Jr,Vicente</t>
  </si>
  <si>
    <t>Kept active for Fall 2023 return</t>
  </si>
  <si>
    <t>Valadez,Veronica</t>
  </si>
  <si>
    <t>Lopez,Noe</t>
  </si>
  <si>
    <t>ID</t>
  </si>
  <si>
    <t>FALL InfoReady</t>
  </si>
  <si>
    <t>Castro Sotomayor, Jose</t>
  </si>
  <si>
    <t>Chen, Nien Tsu</t>
  </si>
  <si>
    <t>Fall: 3/Advising, 3/RSCA R0161; Spring: 3/Advising</t>
  </si>
  <si>
    <t>Fall: 3/Advising &amp; 3/RSCA submitted 7/16LM</t>
  </si>
  <si>
    <t>Clarke, Tracy</t>
  </si>
  <si>
    <t>Jenkins, Joseph</t>
  </si>
  <si>
    <t>Fall: 6/Chair submitted 7/16LM</t>
  </si>
  <si>
    <t>Kenny Feister, Megan</t>
  </si>
  <si>
    <t>Fall: 6/OTP REP; Spring: 6/OTP REP</t>
  </si>
  <si>
    <t>Fall: 6/OTP REP submitted 7/16LM</t>
  </si>
  <si>
    <t>Smith, Christina</t>
  </si>
  <si>
    <t>Fall: 6/AS Chair; Spring: 6/AS Chair, 3/RSCA R0161</t>
  </si>
  <si>
    <t>Fall: 6/AS Chair submitted 7/16 LM</t>
  </si>
  <si>
    <t>Youn, Hyunsook</t>
  </si>
  <si>
    <t>Spring: 3/RSCA R0172</t>
  </si>
  <si>
    <t>Fall: 3/Program Review TBD</t>
  </si>
  <si>
    <t>Boyd Barrett, Joseph Oliver</t>
  </si>
  <si>
    <t>Henchy, Vivian Laubacher</t>
  </si>
  <si>
    <t>Morgan-Carter, Shante</t>
  </si>
  <si>
    <t>Opffer,Elenie Elizabeth</t>
  </si>
  <si>
    <t>Saunders, Emily Sue</t>
  </si>
  <si>
    <t xml:space="preserve"> B </t>
  </si>
  <si>
    <t>Henchy,Vivian Laubacher</t>
  </si>
  <si>
    <t>Boyd Barrett,Joseph Oliver</t>
  </si>
  <si>
    <t>Rehired Annuitant Max is 15 WTU/AY</t>
  </si>
  <si>
    <t>Morgan-Carter,Shante</t>
  </si>
  <si>
    <t xml:space="preserve"> A </t>
  </si>
  <si>
    <t>Saunders,Emily Sue</t>
  </si>
  <si>
    <t>Lefevre,Susan J</t>
  </si>
  <si>
    <t>Salin,Shaina</t>
  </si>
  <si>
    <t>newly eligible 12.12 eff 8/20/24,</t>
  </si>
  <si>
    <t>Feister, Scott</t>
  </si>
  <si>
    <t>Spring: CS/IT Advising Units 3,</t>
  </si>
  <si>
    <t>Isaacs, Jason</t>
  </si>
  <si>
    <t>Spring: ABET Units (advising) 3</t>
  </si>
  <si>
    <t>Soltys-Kulinicz, Michael</t>
  </si>
  <si>
    <t>Thoms, Brian</t>
  </si>
  <si>
    <t>Fall: Chair Units 6, IT Self Study Units 3 Spring: Chair Units 6</t>
  </si>
  <si>
    <t>Abbasi, Bahareh</t>
  </si>
  <si>
    <t>Fall: EMEC Advising Units 2, Lab Coordination Unit 1</t>
  </si>
  <si>
    <t>Vakilian, Vida</t>
  </si>
  <si>
    <t>Spring: ABET Units (accrued) 3</t>
  </si>
  <si>
    <t>Advising Units Remaining</t>
  </si>
  <si>
    <t xml:space="preserve">Lab Coordinating Units Remaining </t>
  </si>
  <si>
    <t>Accrued Units</t>
  </si>
  <si>
    <t>Program Review/Self Study Units (Jason or Brian)</t>
  </si>
  <si>
    <t>Al-Salman,Sami Muhsin</t>
  </si>
  <si>
    <t>Scrivnor,Kevin Teruo</t>
  </si>
  <si>
    <t>Range Elevation eff Fall 2023</t>
  </si>
  <si>
    <t>Aten,Marc D</t>
  </si>
  <si>
    <t>Sharma,Puneet</t>
  </si>
  <si>
    <t>Declined work Spring 2023</t>
  </si>
  <si>
    <t>Wasniowski,Richard Alex</t>
  </si>
  <si>
    <t>Rehired Annuitant - Max 11.5 WTU; If he is over his max, this may affect his rehired annuitant pay; Range Elevation eff Fall 2023</t>
  </si>
  <si>
    <t>Onzol,Christopher Peter</t>
  </si>
  <si>
    <t>Skinner,Andrea Martins Franca</t>
  </si>
  <si>
    <t>Gentry,Eric</t>
  </si>
  <si>
    <t>Dempsey,John</t>
  </si>
  <si>
    <t>Zierhut,Kurt</t>
  </si>
  <si>
    <t>Rieger,Ronald</t>
  </si>
  <si>
    <t>3rd semester (spring start)</t>
  </si>
  <si>
    <t>Wilroy,Claudia</t>
  </si>
  <si>
    <t>Returned Spring 2023/Spring Only</t>
  </si>
  <si>
    <t>5th year</t>
  </si>
  <si>
    <t>Relle,Scarlet</t>
  </si>
  <si>
    <t>Letaief,Hassine</t>
  </si>
  <si>
    <t>Termed Spring 2023 - Resigned</t>
  </si>
  <si>
    <t>Eryilmaz,Evren</t>
  </si>
  <si>
    <t>Ryan,Terence</t>
  </si>
  <si>
    <t>Rasnow,Brian Keith</t>
  </si>
  <si>
    <t>Adler, Marion</t>
  </si>
  <si>
    <t>Dean Faculty Fellow/TLi Faculty Fellow</t>
  </si>
  <si>
    <t>Anderson, Stacey</t>
  </si>
  <si>
    <t xml:space="preserve">3/Fall Chair    6/Fall Faculty Fellow   </t>
  </si>
  <si>
    <t>Balen, Julia</t>
  </si>
  <si>
    <t>Carswell, Sean</t>
  </si>
  <si>
    <t>Guzman, Georgina</t>
  </si>
  <si>
    <t>FALL: CCE Faculty Director    3/Fall Advising</t>
  </si>
  <si>
    <t>Hakala, Taryn</t>
  </si>
  <si>
    <t>Monsma, Bradley</t>
  </si>
  <si>
    <t>Vose, Kimberly</t>
  </si>
  <si>
    <t>FALL: ENGL Comp. Coord.</t>
  </si>
  <si>
    <t>Baker, Raquel</t>
  </si>
  <si>
    <t>3/Fall Black Studies Coord.    3/CSA Fellow      3/CFA</t>
  </si>
  <si>
    <t>6/Advising (Fall-Spring)</t>
  </si>
  <si>
    <t>6/Composition (Fall-Spring)</t>
  </si>
  <si>
    <t>Jordan, Rachel</t>
  </si>
  <si>
    <t>3 WTUs Developing Masters Prgm/Sabbatical Sp '24 (3 WTU's Newsletter)</t>
  </si>
  <si>
    <t>McClellan, Kendall</t>
  </si>
  <si>
    <t>3 WTUs CFA Release / 3 WTUs Developing Masters Prgm (SP24)</t>
  </si>
  <si>
    <t>Klompien, Kathleen</t>
  </si>
  <si>
    <t>12 WTUs Fall/12 WTUs for Spring - LC</t>
  </si>
  <si>
    <t>Justice,Clifton Randy</t>
  </si>
  <si>
    <t>Beauregard,Stacey Anne</t>
  </si>
  <si>
    <t>Jordan,Rachael Danielle</t>
  </si>
  <si>
    <t>McClellan,Kendall Anne</t>
  </si>
  <si>
    <t>Klompien,Kathleen J</t>
  </si>
  <si>
    <t>Entitlement preserved - Reassigned 12 month appointment end of AY23-24 (8/20/24). Will be at Year 3 upon return. Range Elevation eff Fall 2022</t>
  </si>
  <si>
    <t>Sarig,Ronit</t>
  </si>
  <si>
    <t>Spitler-Lawson,Emily Paige</t>
  </si>
  <si>
    <t>Stiebritz,Julie Barmazel</t>
  </si>
  <si>
    <t>Katz,Kyndra Turner</t>
  </si>
  <si>
    <t>O'Connor,Scott S</t>
  </si>
  <si>
    <t>Newly eligible 12.12 effective Fall 2023</t>
  </si>
  <si>
    <t>Park,Nancy</t>
  </si>
  <si>
    <t>Academic Year Appointment</t>
  </si>
  <si>
    <t>Ruvalcaba,Vicente</t>
  </si>
  <si>
    <t>de la O,Marsha</t>
  </si>
  <si>
    <t>3 semesters (spring start)</t>
  </si>
  <si>
    <t>DeLoach,Scott David</t>
  </si>
  <si>
    <t>Winget,Anna</t>
  </si>
  <si>
    <t>Anderson, Sean</t>
  </si>
  <si>
    <t>Fall: 3/Mitigation; Spring: 3/EPA Grant</t>
  </si>
  <si>
    <t>Patsch, Kiersten</t>
  </si>
  <si>
    <t>Fall:  6/Chair; Spring:  6/Chair</t>
  </si>
  <si>
    <t>Fall: Kiki chair entered: 7/8/24</t>
  </si>
  <si>
    <t>Reineman, Daniel</t>
  </si>
  <si>
    <t>Fall: 3/USCB/OPC grant, 1.5/Advising</t>
  </si>
  <si>
    <t>Fall: Dan advising entered 7/8/24</t>
  </si>
  <si>
    <t>Steele, Clare</t>
  </si>
  <si>
    <t>Araya, Timnit Kefela</t>
  </si>
  <si>
    <t>Fall: 3/New TT hire; Spring: 3/EPA Grant, 3/New TT hire</t>
  </si>
  <si>
    <t>Fall: Timnit new tt entered 7/10/24</t>
  </si>
  <si>
    <t>Spring: 4.5/Advising</t>
  </si>
  <si>
    <t>Spring: 1.5/Lab Coordination</t>
  </si>
  <si>
    <t>Lab Coor</t>
  </si>
  <si>
    <t>Prgm Rev</t>
  </si>
  <si>
    <t>Fall</t>
  </si>
  <si>
    <t>Spies,Brenton</t>
  </si>
  <si>
    <t>Fall: 3/Prgm Review; Fall: 1.5 Lab Coordinaition</t>
  </si>
  <si>
    <t>Fall Brenton: entered 7/8/24</t>
  </si>
  <si>
    <t>Horn, Dorothy</t>
  </si>
  <si>
    <t>Fall: 3/Large 335</t>
  </si>
  <si>
    <t>Fall Dorothy entered 7/31/24</t>
  </si>
  <si>
    <t>From Manami on 7/10/24</t>
  </si>
  <si>
    <t>Chair</t>
  </si>
  <si>
    <t>Department</t>
  </si>
  <si>
    <t>Patsch, Kiki</t>
  </si>
  <si>
    <t>Environmental Sci&amp;Resource Mgt - 303767</t>
  </si>
  <si>
    <t>Newly eligible 12.12 eff 8/20/24, pending salary adj eff Fall 2024</t>
  </si>
  <si>
    <t>Kuo,Benjamin</t>
  </si>
  <si>
    <t>Newly eligible 12.12 eff 8/20/24</t>
  </si>
  <si>
    <t>Horn,Dorothy A</t>
  </si>
  <si>
    <t>5 semesters (spring start)</t>
  </si>
  <si>
    <t>Galipeau,Russell</t>
  </si>
  <si>
    <t>3 semester (spring start)</t>
  </si>
  <si>
    <t>Howard, Tanner</t>
  </si>
  <si>
    <t>Seidel,Jay</t>
  </si>
  <si>
    <t>Last taught F23, Keep active for Fall return</t>
  </si>
  <si>
    <t xml:space="preserve">             -  </t>
  </si>
  <si>
    <t>Algiers, Joseph</t>
  </si>
  <si>
    <t>Last taught F23, Keep acive for Fall return</t>
  </si>
  <si>
    <t>1st year</t>
  </si>
  <si>
    <t>Larson, Julie H</t>
  </si>
  <si>
    <t>McQueeney, Megan</t>
  </si>
  <si>
    <t>New Hire Spring 2024</t>
  </si>
  <si>
    <t>1 semester (spring start)</t>
  </si>
  <si>
    <t>O'Hirok,Linda</t>
  </si>
  <si>
    <t>Retired eff 6/1/24</t>
  </si>
  <si>
    <t>French, Renee</t>
  </si>
  <si>
    <t>Becerra Garcia, Maricela</t>
  </si>
  <si>
    <t>F2024 3 (ASSETT Lead)</t>
  </si>
  <si>
    <t>Clark, Stephen</t>
  </si>
  <si>
    <t>Gonzalez Gimbernat, Javier</t>
  </si>
  <si>
    <t>Jimenez Jimenez, Antonio</t>
  </si>
  <si>
    <t>DAA- Translation for CI Website</t>
  </si>
  <si>
    <t>Machado, Vanina</t>
  </si>
  <si>
    <t>3/Advising</t>
  </si>
  <si>
    <t>3/Program Review</t>
  </si>
  <si>
    <t>Barron-Camacho,Acela</t>
  </si>
  <si>
    <t>Volpe,Claudia Maria</t>
  </si>
  <si>
    <t>Sladek,Dave A</t>
  </si>
  <si>
    <t>Smitheram,Robert Hale</t>
  </si>
  <si>
    <t>Entitlement not met due to lack of work (low enrollment) Fall 2022; 3 year contract, entitlement doesn't change.</t>
  </si>
  <si>
    <t>Bezrati,Sumaya</t>
  </si>
  <si>
    <t>Ventura Luna,Silvia</t>
  </si>
  <si>
    <t>Lopez,Constantino</t>
  </si>
  <si>
    <t>Sitbon Slosurg,Corrine</t>
  </si>
  <si>
    <t>De Frutos Garcia,Samanta</t>
  </si>
  <si>
    <t>Wu,Xiali</t>
  </si>
  <si>
    <t xml:space="preserve">Semester </t>
  </si>
  <si>
    <t>Kornuc,Sandra Posada</t>
  </si>
  <si>
    <t>Berkowsky, Ronald</t>
  </si>
  <si>
    <t>Fall: 3/RSCA, 1/advising, 1/program development</t>
  </si>
  <si>
    <t>Clobes, Thomas</t>
  </si>
  <si>
    <t>Fall: 3/RSCA, 2/advising</t>
  </si>
  <si>
    <t>de Lacalle, Sonsoles</t>
  </si>
  <si>
    <t>Fall: 9/Chair, 1.5/HLTH490 Team Teaching; Spring: 9/Chair</t>
  </si>
  <si>
    <t>Dixon, Lydia</t>
  </si>
  <si>
    <t>Fall: 3/RSCA, 3/Senate, 1/advising</t>
  </si>
  <si>
    <t>Linton, Kristen</t>
  </si>
  <si>
    <t>Fall: 1/Advising</t>
  </si>
  <si>
    <t>Gold, Joshua</t>
  </si>
  <si>
    <t>Fall: 3/Provost New TT, 1/Advisement, 1/program development</t>
  </si>
  <si>
    <t>10/Advising (Fall-Spring)</t>
  </si>
  <si>
    <t>Barker, Blair</t>
  </si>
  <si>
    <t>8.20.24</t>
  </si>
  <si>
    <t>Gutierrez,Melissa Ann Joy</t>
  </si>
  <si>
    <t>Newly eligible 12.12 eff F22</t>
  </si>
  <si>
    <t>Winans,Ashley Elisa</t>
  </si>
  <si>
    <t>Declined work SP23; Newly eligible 12.12 eff Fall 2023</t>
  </si>
  <si>
    <t>Burris,Jennifer</t>
  </si>
  <si>
    <t>Barker,Blair Susanne</t>
  </si>
  <si>
    <t>Parks,Ashley</t>
  </si>
  <si>
    <t>Betancourt,Juan</t>
  </si>
  <si>
    <t>9 semesters (spring start)</t>
  </si>
  <si>
    <t>Himebaugh,Geri-Lyn Diane</t>
  </si>
  <si>
    <t>Krueger,Kathryn Honey Lea</t>
  </si>
  <si>
    <t>Betka,Jasmine Marinna</t>
  </si>
  <si>
    <t>Thomson,Daniel R</t>
  </si>
  <si>
    <t>Mack,Carol H</t>
  </si>
  <si>
    <t>Rehired Annuitant Max of 15 per AY; Spring Only</t>
  </si>
  <si>
    <t>Hammond,Belinda</t>
  </si>
  <si>
    <t>3% GSI applies since she taugh AY21-22. Asked to kept active upon Fall 2023 return.</t>
  </si>
  <si>
    <t>Last taught Spring 2022</t>
  </si>
  <si>
    <t>Irobi,Edward Okezie</t>
  </si>
  <si>
    <t xml:space="preserve">Termed Fall 2022 </t>
  </si>
  <si>
    <t>Clobes,Thomas A</t>
  </si>
  <si>
    <t>Barajas, Frank</t>
  </si>
  <si>
    <t>Buschmann, Rainer</t>
  </si>
  <si>
    <t>Fall: Rainer Chair entered 7/10 (AH)</t>
  </si>
  <si>
    <t>Jalil, Hanni</t>
  </si>
  <si>
    <t>Fall: 3/TLi</t>
  </si>
  <si>
    <t>Meriwether, James</t>
  </si>
  <si>
    <t>Fall: 3/Advising; 3 RSCA</t>
  </si>
  <si>
    <t>Entered 7/22/24 (AH)</t>
  </si>
  <si>
    <t>Nolde, Lance</t>
  </si>
  <si>
    <t>Fall: 12/Sabbatical</t>
  </si>
  <si>
    <t>Entered 7/25 (AH)</t>
  </si>
  <si>
    <t>Ornelas-Higdon, Julia</t>
  </si>
  <si>
    <t>Reynoso, Jacqueline</t>
  </si>
  <si>
    <t>Fall: 3/A&amp;S Fellow (funded by Provost)</t>
  </si>
  <si>
    <t>Francois, Marie</t>
  </si>
  <si>
    <t>Caldwell, Amy</t>
  </si>
  <si>
    <t>Caldwell,Amy</t>
  </si>
  <si>
    <t>Powelson,Michael William</t>
  </si>
  <si>
    <t>Wolf,Richard Baxter</t>
  </si>
  <si>
    <t>Block,Michael D</t>
  </si>
  <si>
    <t>Hood-Whitesell, Ginger</t>
  </si>
  <si>
    <t>Greywitt, Ryan</t>
  </si>
  <si>
    <t>Semester - Emergency Hire</t>
  </si>
  <si>
    <t>Spring 2024 Emergency Hire, need to be officially hired if returning</t>
  </si>
  <si>
    <t>*Add'l 22 WTU's approved 2.28.23</t>
  </si>
  <si>
    <t>Banuelos, Selenne</t>
  </si>
  <si>
    <t>Fall: 12 units position at IPAM; Spring: 12 units position at IPAM</t>
  </si>
  <si>
    <t>Buhl, Geoffrey</t>
  </si>
  <si>
    <t>Elliott, Jesse</t>
  </si>
  <si>
    <t>Spring: 3/RSCA</t>
  </si>
  <si>
    <t>Ernest, Jessica</t>
  </si>
  <si>
    <t>Fall: 6 unit for Math Minds (Provost); Spring: 3/RSCA</t>
  </si>
  <si>
    <t>Flores, Cynthia</t>
  </si>
  <si>
    <t>Garcia, Jorge</t>
  </si>
  <si>
    <t>Fall: 1/Precalculus Coordination</t>
  </si>
  <si>
    <t>Grzegorczyk, Ivona</t>
  </si>
  <si>
    <t>Fall: 12/Sabattical; Spring: 12/Sabattical</t>
  </si>
  <si>
    <t>Kryshchenko, Alona</t>
  </si>
  <si>
    <t>Fall: 3/Children's Hospital of LA grant work; Spring: 3/ California Learning Lab via UCSB subaward</t>
  </si>
  <si>
    <t>Miller, Jason</t>
  </si>
  <si>
    <t>Fall: 12 Difference in Pay Leave (Provost)</t>
  </si>
  <si>
    <t xml:space="preserve">Quintanilla Salinas, Isaac </t>
  </si>
  <si>
    <t>Fall: 3/California Learning Lab Gran; Spring: 3/RSCA</t>
  </si>
  <si>
    <t>Wyels, Cynthia</t>
  </si>
  <si>
    <t>Fall: 6/MAA secretary, 2/Calculus Coordination</t>
  </si>
  <si>
    <t>15/Curriculum Coord.</t>
  </si>
  <si>
    <t>West, Phil</t>
  </si>
  <si>
    <t>Brown, Jennifer</t>
  </si>
  <si>
    <t>Fall: 8 units AYUDAS</t>
  </si>
  <si>
    <t>Soderlund, Christina</t>
  </si>
  <si>
    <t>Santiago,Mamerta Magdalena</t>
  </si>
  <si>
    <t>Tivy,Anna Nikolaevna</t>
  </si>
  <si>
    <t>Sittinger,Brian D</t>
  </si>
  <si>
    <t>Ho,Phuoc Le</t>
  </si>
  <si>
    <t>Brown,Jennifer Anne</t>
  </si>
  <si>
    <t>Nasr,Jessica David</t>
  </si>
  <si>
    <t>Yi,Peter</t>
  </si>
  <si>
    <t>Nguyen,Jarmila</t>
  </si>
  <si>
    <t>Soderlund,Christina Lynn</t>
  </si>
  <si>
    <t>West,Philip P</t>
  </si>
  <si>
    <t>Caravello,Jonathan</t>
  </si>
  <si>
    <t>Mora-Donato,Eduardo</t>
  </si>
  <si>
    <t>Reynolds,Andrew</t>
  </si>
  <si>
    <t>Bennett,Jack Robert</t>
  </si>
  <si>
    <t>Reid,Nathanael J</t>
  </si>
  <si>
    <t>Bernal, Danilo</t>
  </si>
  <si>
    <t>Fall: 1.5/CI SIM Lab Dir, 1.5/Exceptional Service; TBD/Partial Leave; Spring:  1.5/CI SIM Lab Dir, 1.5/Exceptional Service</t>
  </si>
  <si>
    <t>Confiac, Nathalie</t>
  </si>
  <si>
    <t>Fall: EU3/Goleta Director, 3/New TT Hire</t>
  </si>
  <si>
    <t>Congello, Neomie</t>
  </si>
  <si>
    <t>Fall: EU3/RN-BSN Director, 1.5 NRS 300 large section, 3/Undergrad Accreditation lead; Spring: 3/Undergrad Accreditation lead, 3/Assistant Chair</t>
  </si>
  <si>
    <t>Davis, LaSonya</t>
  </si>
  <si>
    <t>Fall: 9/Chair, 1.5/Grad Accred; Spring: 9/Chair, 1.5/Grad Accred</t>
  </si>
  <si>
    <t>Landry, Lynette</t>
  </si>
  <si>
    <t>Fall: FERP</t>
  </si>
  <si>
    <t>McColpin, Aaron</t>
  </si>
  <si>
    <t>Fall: 1.5 NRS 304 large enrollment, EU1.5/EU MSN Director, 3/Assistant Chair</t>
  </si>
  <si>
    <t>9/Accred. (Fall-Spring)</t>
  </si>
  <si>
    <t>Atyabi, Vanessa</t>
  </si>
  <si>
    <t>Fall: 6/EU; Spring:</t>
  </si>
  <si>
    <t>Kendra Duvall</t>
  </si>
  <si>
    <t>Fall: 3/Clinical Coach; Spring: 3/Clinical Coach</t>
  </si>
  <si>
    <t>Sherri Greif</t>
  </si>
  <si>
    <t>Fall: 1.5/Undergrad Accreditation; Spring: 1.5/Undergrad Accreditation</t>
  </si>
  <si>
    <t>Eff 8/13/24</t>
  </si>
  <si>
    <t>PS</t>
  </si>
  <si>
    <t>CHRS</t>
  </si>
  <si>
    <t>Bergholtz,Andrea Ilene</t>
  </si>
  <si>
    <t>X</t>
  </si>
  <si>
    <t>Cross,Melanie S</t>
  </si>
  <si>
    <t>Ebuen,Milagros Tabije</t>
  </si>
  <si>
    <t xml:space="preserve"> C </t>
  </si>
  <si>
    <t>Merickel,Heidi</t>
  </si>
  <si>
    <t>Greaney,Grace Khatcherian</t>
  </si>
  <si>
    <t xml:space="preserve"> X </t>
  </si>
  <si>
    <t>Leahy,Diep</t>
  </si>
  <si>
    <t xml:space="preserve">Angeles,Christal </t>
  </si>
  <si>
    <t>Fujikuni,Melissa</t>
  </si>
  <si>
    <t>6 semesters</t>
  </si>
  <si>
    <t>Duvall,Kendra</t>
  </si>
  <si>
    <t>Hitt,Terri Ann</t>
  </si>
  <si>
    <t>Huber, Joselina</t>
  </si>
  <si>
    <t>Nevins,Colleen</t>
  </si>
  <si>
    <t xml:space="preserve"> D </t>
  </si>
  <si>
    <t xml:space="preserve">Angeles,Rhonda </t>
  </si>
  <si>
    <t xml:space="preserve">        -  </t>
  </si>
  <si>
    <t xml:space="preserve">Tanashian,Houry </t>
  </si>
  <si>
    <t>Keep active for Fall</t>
  </si>
  <si>
    <t>Mitchell,Nancy</t>
  </si>
  <si>
    <t>Lee, Priscilla</t>
  </si>
  <si>
    <t>Mariana, Jana</t>
  </si>
  <si>
    <t>Nelson, Sakeena</t>
  </si>
  <si>
    <t>Spring 2024 Hire</t>
  </si>
  <si>
    <t>Roe, Hope</t>
  </si>
  <si>
    <t>Webster, Jaime</t>
  </si>
  <si>
    <t xml:space="preserve">Lyons,Brooklyn </t>
  </si>
  <si>
    <t>Did not teach in AY23-24, Keep active for Fall</t>
  </si>
  <si>
    <t>restarting</t>
  </si>
  <si>
    <t>Ayala, Sandra</t>
  </si>
  <si>
    <t>New Hire Fall 2024</t>
  </si>
  <si>
    <t>Dent, Mimi</t>
  </si>
  <si>
    <t>Gray, Sandra</t>
  </si>
  <si>
    <t>Lang, Elizabeth</t>
  </si>
  <si>
    <t>Macdonald, Alec</t>
  </si>
  <si>
    <t>*Add'l 1.5 WTU's approved 2.28.23</t>
  </si>
  <si>
    <t>Burriss, Catherine</t>
  </si>
  <si>
    <t>Fall: 3 Units RSCA</t>
  </si>
  <si>
    <t>Castillo, Heather</t>
  </si>
  <si>
    <t>Fall: 6 (5.1+0.9 to Paul Murphy)/Chair; Spring: 3/Chair</t>
  </si>
  <si>
    <t>Liu, Kuan-Fen</t>
  </si>
  <si>
    <t>Murphy, Paul</t>
  </si>
  <si>
    <t>Fall:  (0.9 Music Advising-from 6 Chair)</t>
  </si>
  <si>
    <t>3/Misc</t>
  </si>
  <si>
    <r>
      <rPr>
        <b/>
        <sz val="12"/>
        <color rgb="FFFF0000"/>
        <rFont val="Calibri"/>
        <family val="2"/>
      </rPr>
      <t>Select/ Enter</t>
    </r>
    <r>
      <rPr>
        <b/>
        <sz val="12"/>
        <color rgb="FF000000"/>
        <rFont val="Calibri"/>
        <family val="2"/>
      </rPr>
      <t xml:space="preserve"> PART TIME Faculty Name</t>
    </r>
  </si>
  <si>
    <t>Covault,Laura Lynn</t>
  </si>
  <si>
    <t>Marsh,Steven D</t>
  </si>
  <si>
    <t>Park,MiRi Lyssa</t>
  </si>
  <si>
    <t>Roberson, Malia</t>
  </si>
  <si>
    <t>Fall: 3 Units Exceptional release time</t>
  </si>
  <si>
    <t>Bickel,Craig Andrew</t>
  </si>
  <si>
    <t>Goodman,Diana Ray</t>
  </si>
  <si>
    <t>Declined work Fall 2022</t>
  </si>
  <si>
    <t>McNamara,Raymond R</t>
  </si>
  <si>
    <t>Roberson,Malia Jade</t>
  </si>
  <si>
    <t>Lavin-Hughes,Elizabeth Y</t>
  </si>
  <si>
    <t>Newly eligible 12.12 contract eff Fall 2023; Insufficient courses</t>
  </si>
  <si>
    <t>Park,Miri Lyssa</t>
  </si>
  <si>
    <t>Newly eligible 12.12 contract eff Fall 2023</t>
  </si>
  <si>
    <t>Carbajal,Hugo</t>
  </si>
  <si>
    <t>Lee,Joyce Ann</t>
  </si>
  <si>
    <t>Termed Spring 2023; Kept active for return Fall 2023</t>
  </si>
  <si>
    <t>Parada,Juan Carlos</t>
  </si>
  <si>
    <t>Kondrath,Jessica</t>
  </si>
  <si>
    <t>Barrett,Jozben</t>
  </si>
  <si>
    <t>Hayakawa, Kevin</t>
  </si>
  <si>
    <t>2/FL2024-NASA H2O RSCA External | 3/FL2024-Provost RSCA Internal</t>
  </si>
  <si>
    <t xml:space="preserve">1/SP2025-NASA H2O RSCA External </t>
  </si>
  <si>
    <t>Wood, Gregory</t>
  </si>
  <si>
    <t>3/FL2024-Chair</t>
  </si>
  <si>
    <t>3/SP2025-Chair</t>
  </si>
  <si>
    <t>Barber, William Chappell</t>
  </si>
  <si>
    <t>Bennett, David A</t>
  </si>
  <si>
    <t>Capewell, Dale Lee</t>
  </si>
  <si>
    <t>Nelson Jr, David A</t>
  </si>
  <si>
    <t>Rasnow, Brian Keith</t>
  </si>
  <si>
    <t>Swan-Wood, Tabitha Liana</t>
  </si>
  <si>
    <t> ___ /FL2024-Provost NTTF Council</t>
  </si>
  <si>
    <t>Nelson Jr,David A.</t>
  </si>
  <si>
    <t>Swan-Wood,Tabitha Liana</t>
  </si>
  <si>
    <t>Capewell,Dale Lee</t>
  </si>
  <si>
    <t>Bennett,David A</t>
  </si>
  <si>
    <t>Barber,William Chappell</t>
  </si>
  <si>
    <t>Ahab,Atika</t>
  </si>
  <si>
    <t>Quintanar,Leo</t>
  </si>
  <si>
    <t>Blazejewski,Edward R</t>
  </si>
  <si>
    <t>*Add'l 9 WTU's approved 2.28.23</t>
  </si>
  <si>
    <t>Baker, Dana</t>
  </si>
  <si>
    <t>Fall:  3/Chair, 3/MPA Director; Spring: 6/Chair POLS, 6/Chair MPA</t>
  </si>
  <si>
    <t>Fall: Baker 3 Chair, 3 MPA directorb (AH)</t>
  </si>
  <si>
    <t>Frisch, Scott</t>
  </si>
  <si>
    <t>Grove, Andrea</t>
  </si>
  <si>
    <t>Fall: 3/Center for Intl Affairs</t>
  </si>
  <si>
    <t>Fall: Grove 3 WTU CIA entered 7/8/24 (AH)</t>
  </si>
  <si>
    <t>Itkonen, Tiina</t>
  </si>
  <si>
    <t>Kelly, Sean</t>
  </si>
  <si>
    <t>3/Advising (TBD Fall/Spring)</t>
  </si>
  <si>
    <t>Coor GS</t>
  </si>
  <si>
    <t>Coor MPA</t>
  </si>
  <si>
    <t>3/Program Recruitment (Leftover Chair units)</t>
  </si>
  <si>
    <t>Fall/Spring</t>
  </si>
  <si>
    <t>Starting</t>
  </si>
  <si>
    <t>Falll</t>
  </si>
  <si>
    <t>(prgm recruitment)</t>
  </si>
  <si>
    <t>Scholl, Chris</t>
  </si>
  <si>
    <t>Fall: 3/GLST Director; Spring: 3/GLST Director</t>
  </si>
  <si>
    <t>Entered 7/15/24 (AH)</t>
  </si>
  <si>
    <t>Kelly, Sean: 13 WTU through Fall 2025. Spring 2026: 3 WTU RT for banked units (DO)</t>
  </si>
  <si>
    <t>Scholl,Christopher W</t>
  </si>
  <si>
    <t>Pugia,Ross D</t>
  </si>
  <si>
    <t>Rajmaira,Sheen</t>
  </si>
  <si>
    <t>Allison,Timothy J</t>
  </si>
  <si>
    <t>Soule,Suzanne R</t>
  </si>
  <si>
    <t xml:space="preserve">Last taught in Spring 2023, may come back when work is available. </t>
  </si>
  <si>
    <t>AY 24-25 Instructional Budget</t>
  </si>
  <si>
    <t>Adams, Virgil</t>
  </si>
  <si>
    <t>Fall: 3/Large Section PSY 310 (DEPT)</t>
  </si>
  <si>
    <t>Campbell, Matthew</t>
  </si>
  <si>
    <t>Fall: 3/APB Senate; Spring: 3/APB Senate</t>
  </si>
  <si>
    <t>de Oca, Beatrice</t>
  </si>
  <si>
    <t>Spring: 12/Sabbatical</t>
  </si>
  <si>
    <t>Grant, Sheila</t>
  </si>
  <si>
    <t>Fall: 6/FERP, 3/Double Section PSY 317 (DEPT); Spring: 6/FERP</t>
  </si>
  <si>
    <t>Ibrahim, Amira</t>
  </si>
  <si>
    <t>Fall: 3/STEM-NET Faculty Fellow (2 Dean, 1 Ext), 3/NSF-HSI SMART grant; Spring: 3/STEM-NET Faculty Fellow (2 Dean, 1 Ext); 3/Advising</t>
  </si>
  <si>
    <t>Kee-Rose, Kimmy</t>
  </si>
  <si>
    <t>Fall: 9/Chair; Spring: 9/Chair (6 + 3 coord. units both semesters)</t>
  </si>
  <si>
    <t>Krause , Peter</t>
  </si>
  <si>
    <t>Fall: 3/Advising; Spring: 6/Chair of Committee of Equity and Anti-Racism (Senate)</t>
  </si>
  <si>
    <t>Lee, HyeSun</t>
  </si>
  <si>
    <t>Fall: 6/Director of Graduate Studies; Spring: 3/RSCA; 9/Director of Graduate Studies</t>
  </si>
  <si>
    <t>Moon, Michelle</t>
  </si>
  <si>
    <t>Fall: 3/Double Section PSY 313 (DEPT)</t>
  </si>
  <si>
    <t>Smith, Weldon</t>
  </si>
  <si>
    <t>Fall: 2/Program Review, Spring: 1/Program Review; ?/CI Student Research</t>
  </si>
  <si>
    <t>Soenke, Melissa</t>
  </si>
  <si>
    <t>Fall: 12/Sabbatical; Spring: 3/RSCA; 9/Faculty Director for Assessment and Program Review (FASE)</t>
  </si>
  <si>
    <t>Teranishi Martinez, Christy</t>
  </si>
  <si>
    <t>Fall: 3/Co-chair Ethnic Studies; Spring: 3/Co-chair Ethnic Studies</t>
  </si>
  <si>
    <t>Volkan, Kevin</t>
  </si>
  <si>
    <t>Fall: 3/EU PSY 344</t>
  </si>
  <si>
    <t>Zerr, Argero</t>
  </si>
  <si>
    <t>Fall: 3/Advising; Spring: 3/Advising (Tent.)</t>
  </si>
  <si>
    <t>Detar, Whitney James</t>
  </si>
  <si>
    <t>Fall: 3/Double Section PSY 346 (DEPT)</t>
  </si>
  <si>
    <t>Lewis, Ellen Jo</t>
  </si>
  <si>
    <t>Fall: 3/Double Section PSY 457 (DEPT)</t>
  </si>
  <si>
    <t>Loman, Nancy</t>
  </si>
  <si>
    <t>Fall: 3/Double Section PSY 100 (DEPT)</t>
  </si>
  <si>
    <t>Magdaleno, Francisco</t>
  </si>
  <si>
    <t>Fall: 12/Parental Leave (FASE - External)</t>
  </si>
  <si>
    <t>HyeSun Lee - Teaching 1 WTU PSY 494 in Spring. Amira Ibrahim NSF-HSI SMART grant thru 12/31/2024, Amira teaching 2 sections 318 in Spring.</t>
  </si>
  <si>
    <t>Beers,Susan Fischer</t>
  </si>
  <si>
    <t>Detar,Whitney James</t>
  </si>
  <si>
    <t>Declined work SP23 - entitlement stays the same</t>
  </si>
  <si>
    <t>Grey,Natalie Elizabeth</t>
  </si>
  <si>
    <t>Magdaleno,Francisco R</t>
  </si>
  <si>
    <t>Thayer,Barbara Susanne</t>
  </si>
  <si>
    <t>Requested less workload; Range Elevation eff Fall 2022</t>
  </si>
  <si>
    <t>Bennett,Tracy S</t>
  </si>
  <si>
    <t>Lewis,Ellen Jo</t>
  </si>
  <si>
    <t>Loman,Nancy Lockitch</t>
  </si>
  <si>
    <t>Morrison,James M</t>
  </si>
  <si>
    <t>Talarico,Nicole Melinda</t>
  </si>
  <si>
    <t>Requested less workload</t>
  </si>
  <si>
    <t>Walsh,Wendy Lee Mary</t>
  </si>
  <si>
    <t>Bueno,Roberto</t>
  </si>
  <si>
    <t>Stokes,Ryan</t>
  </si>
  <si>
    <t>Stokes,Lauren</t>
  </si>
  <si>
    <t>Rehired Fall 2022</t>
  </si>
  <si>
    <t>Huang,Jill</t>
  </si>
  <si>
    <t>GSI Applies upon return; Kept active for Fall 2023 return</t>
  </si>
  <si>
    <t>Malakoff,Laura Z</t>
  </si>
  <si>
    <t>Emergency Hire - Need to be officially hired</t>
  </si>
  <si>
    <t>Emergency Hire; Needs to be officially hired if returning Fall 2023; Rehire last taught SP22</t>
  </si>
  <si>
    <t>Fleisher,Steven Craig</t>
  </si>
  <si>
    <t>Retired Spring 2023</t>
  </si>
  <si>
    <t>Appell,Jeff</t>
  </si>
  <si>
    <t>Chavarria, Karina</t>
  </si>
  <si>
    <t>Collazo, Jose</t>
  </si>
  <si>
    <t>Downey, Dennis</t>
  </si>
  <si>
    <t>Fall: 9/Faculty Development Directo</t>
  </si>
  <si>
    <t>Kadakal, Reha</t>
  </si>
  <si>
    <t>Fall: 3/RSCA</t>
  </si>
  <si>
    <t>O'Connor, Lindsey</t>
  </si>
  <si>
    <t>Fall: 6/Chair, 3/RSCA; Spring: 6/Chair</t>
  </si>
  <si>
    <t>Soper, Rachel</t>
  </si>
  <si>
    <t>Sowers, Elizabeth</t>
  </si>
  <si>
    <t>Fall: 3/SOC Journal, 3/Advising; Spring: 6/SOC Journal, 3/Advising</t>
  </si>
  <si>
    <t>can remove</t>
  </si>
  <si>
    <t>3/Curriculum Dev</t>
  </si>
  <si>
    <t>Abell, Leslie</t>
  </si>
  <si>
    <t>Fall: 15/Sabbatical</t>
  </si>
  <si>
    <t>Armanino, Daniel</t>
  </si>
  <si>
    <t>Fall: 3/Large Section SOC 100 (DEPT)</t>
  </si>
  <si>
    <t>Mark Jepson</t>
  </si>
  <si>
    <t>8/2 (LM) Removed L. Sanchez from IBW per Dean Hampton.</t>
  </si>
  <si>
    <t>eff: 8/20/2024</t>
  </si>
  <si>
    <t>CHRS Entered</t>
  </si>
  <si>
    <t>Abell,Leslie Marie</t>
  </si>
  <si>
    <t>On Sabbatical</t>
  </si>
  <si>
    <t>Unmet</t>
  </si>
  <si>
    <t>Yes</t>
  </si>
  <si>
    <t>Jepson,Mark C</t>
  </si>
  <si>
    <t>Gonzalez,Jesus</t>
  </si>
  <si>
    <t>Unable to teach at CI anymore</t>
  </si>
  <si>
    <t>Met</t>
  </si>
  <si>
    <t>Blagg,Robert D</t>
  </si>
  <si>
    <t>Jordan,Kristin Marie</t>
  </si>
  <si>
    <t>Pitones,Juan</t>
  </si>
  <si>
    <t>Sandoval,Daniel A</t>
  </si>
  <si>
    <t>Branda-Gherardi,Mariana</t>
  </si>
  <si>
    <t>Berry,Jennifer</t>
  </si>
  <si>
    <t>Jen moved out of the area.  I do not have a class online that she is qualified to teach.</t>
  </si>
  <si>
    <t>Villasenor,Angel</t>
  </si>
  <si>
    <t>Moore,Lauri</t>
  </si>
  <si>
    <t>Last taught Fall 2023, Keep active for Fall return</t>
  </si>
  <si>
    <t>Cogswell, Hannah</t>
  </si>
  <si>
    <t>Fall 2024 New Hire</t>
  </si>
  <si>
    <t>Lamoreaux, Leah</t>
  </si>
  <si>
    <t> waiting for email address to be created</t>
  </si>
  <si>
    <t>Academic Affairs Faculty Roster as of 1/5/2023</t>
  </si>
  <si>
    <t>Department (for drop down lists)</t>
  </si>
  <si>
    <t>List of Dean &amp; Dept Supported Projects (for drop down lists)</t>
  </si>
  <si>
    <t>List of External Supported Projects (for drop down lists)</t>
  </si>
  <si>
    <t>Funding Source (Internal)</t>
  </si>
  <si>
    <t>Funding Source (External)</t>
  </si>
  <si>
    <t>Faculty Name</t>
  </si>
  <si>
    <t>DeptID</t>
  </si>
  <si>
    <t>Description</t>
  </si>
  <si>
    <t>Source</t>
  </si>
  <si>
    <t>303772</t>
  </si>
  <si>
    <t>00002070</t>
  </si>
  <si>
    <t>Accreditation</t>
  </si>
  <si>
    <t>Administrative</t>
  </si>
  <si>
    <t>Grant</t>
  </si>
  <si>
    <t>303770</t>
  </si>
  <si>
    <t>00002479</t>
  </si>
  <si>
    <t>LOA</t>
  </si>
  <si>
    <t>Program</t>
  </si>
  <si>
    <t>Provost</t>
  </si>
  <si>
    <t>Acuna, Samantha</t>
  </si>
  <si>
    <t>Political Science</t>
  </si>
  <si>
    <t>00003033</t>
  </si>
  <si>
    <t>Sabattical</t>
  </si>
  <si>
    <t>President</t>
  </si>
  <si>
    <t>303735</t>
  </si>
  <si>
    <t>00001562</t>
  </si>
  <si>
    <t>Health Science</t>
  </si>
  <si>
    <t>Coordination</t>
  </si>
  <si>
    <t>Director</t>
  </si>
  <si>
    <t>CO</t>
  </si>
  <si>
    <t>303730</t>
  </si>
  <si>
    <t>00000542</t>
  </si>
  <si>
    <t>CI Senate</t>
  </si>
  <si>
    <t>Vice Provost</t>
  </si>
  <si>
    <t>303734</t>
  </si>
  <si>
    <t>Chicano Studies</t>
  </si>
  <si>
    <t>00001334</t>
  </si>
  <si>
    <t>Large Sections</t>
  </si>
  <si>
    <t>State Senate - CFA</t>
  </si>
  <si>
    <t>303720</t>
  </si>
  <si>
    <t>Biology/Natural Sciences</t>
  </si>
  <si>
    <t>00000271</t>
  </si>
  <si>
    <t>New Faculty</t>
  </si>
  <si>
    <t>00002397</t>
  </si>
  <si>
    <t>Cross College/Administrative Assignments</t>
  </si>
  <si>
    <t>RSCA</t>
  </si>
  <si>
    <t>303767</t>
  </si>
  <si>
    <t>Environmental Sci&amp;Resource Mgt</t>
  </si>
  <si>
    <t>00000786</t>
  </si>
  <si>
    <t>Overload</t>
  </si>
  <si>
    <t>00002480</t>
  </si>
  <si>
    <t>Theatre Arts</t>
  </si>
  <si>
    <t>303760</t>
  </si>
  <si>
    <t>00002595</t>
  </si>
  <si>
    <t>303781</t>
  </si>
  <si>
    <t>00002270</t>
  </si>
  <si>
    <t>303769</t>
  </si>
  <si>
    <t>00002604</t>
  </si>
  <si>
    <t>Chicana/o Studies</t>
  </si>
  <si>
    <t>00000475</t>
  </si>
  <si>
    <t>English/Faculty Development</t>
  </si>
  <si>
    <t>00003284</t>
  </si>
  <si>
    <t>Ballesteros Sola, Maria</t>
  </si>
  <si>
    <t>301715</t>
  </si>
  <si>
    <t>Business</t>
  </si>
  <si>
    <t>00002484</t>
  </si>
  <si>
    <t>Math/Philosophy</t>
  </si>
  <si>
    <t>00002112</t>
  </si>
  <si>
    <t>Mathematics</t>
  </si>
  <si>
    <t>303740</t>
  </si>
  <si>
    <t>00000509</t>
  </si>
  <si>
    <t>Barton, Jared</t>
  </si>
  <si>
    <t>301714</t>
  </si>
  <si>
    <t>Economics</t>
  </si>
  <si>
    <t>00000549</t>
  </si>
  <si>
    <t>303768</t>
  </si>
  <si>
    <t>Global Languages &amp; Cultures</t>
  </si>
  <si>
    <t>00000510</t>
  </si>
  <si>
    <t>00003038</t>
  </si>
  <si>
    <t>Environmental Studies</t>
  </si>
  <si>
    <t>303722</t>
  </si>
  <si>
    <t>00002488</t>
  </si>
  <si>
    <t>00002474</t>
  </si>
  <si>
    <t>Bleicher, Robert-Showing vacant in PM</t>
  </si>
  <si>
    <t>Credential Programs</t>
  </si>
  <si>
    <t>00000357</t>
  </si>
  <si>
    <t>International / Global Studies</t>
  </si>
  <si>
    <t>303750</t>
  </si>
  <si>
    <t>00000249</t>
  </si>
  <si>
    <t>303731</t>
  </si>
  <si>
    <t>00000996</t>
  </si>
  <si>
    <t>00000248</t>
  </si>
  <si>
    <t>00000603</t>
  </si>
  <si>
    <t>00001418</t>
  </si>
  <si>
    <t>Physical Science</t>
  </si>
  <si>
    <t>00002405</t>
  </si>
  <si>
    <t>303732</t>
  </si>
  <si>
    <t>00002910</t>
  </si>
  <si>
    <t>Accounting</t>
  </si>
  <si>
    <t>00002597</t>
  </si>
  <si>
    <t>Chang, Julia</t>
  </si>
  <si>
    <t>00002032</t>
  </si>
  <si>
    <t>Charles Weis</t>
  </si>
  <si>
    <t>SOE Graduate Programs</t>
  </si>
  <si>
    <t>00002408</t>
  </si>
  <si>
    <t>Finance</t>
  </si>
  <si>
    <t>303733</t>
  </si>
  <si>
    <t>00002428</t>
  </si>
  <si>
    <t>Management</t>
  </si>
  <si>
    <t>Chen, Minder</t>
  </si>
  <si>
    <t>00001203</t>
  </si>
  <si>
    <t>Management Information Systems</t>
  </si>
  <si>
    <t>00002114</t>
  </si>
  <si>
    <t>Marketing</t>
  </si>
  <si>
    <t>00000164</t>
  </si>
  <si>
    <t>Liberal Studies</t>
  </si>
  <si>
    <t>00002033</t>
  </si>
  <si>
    <t>Physical Education</t>
  </si>
  <si>
    <t>Cline, Brendan</t>
  </si>
  <si>
    <t>00003039</t>
  </si>
  <si>
    <t>Early Childhood Studies</t>
  </si>
  <si>
    <t>00003047</t>
  </si>
  <si>
    <t>Education</t>
  </si>
  <si>
    <t>00003043</t>
  </si>
  <si>
    <t>Educational Administration</t>
  </si>
  <si>
    <t>00001966</t>
  </si>
  <si>
    <t>Elementary Education</t>
  </si>
  <si>
    <t>Cooper, Dylan</t>
  </si>
  <si>
    <t>00002476</t>
  </si>
  <si>
    <t>Multicultural Education</t>
  </si>
  <si>
    <t>Correia, Manuel</t>
  </si>
  <si>
    <t>302303</t>
  </si>
  <si>
    <t>00000265</t>
  </si>
  <si>
    <t>Secondary Education</t>
  </si>
  <si>
    <t>Cortez, Maria</t>
  </si>
  <si>
    <t>302726</t>
  </si>
  <si>
    <t>00001497</t>
  </si>
  <si>
    <t>Special Education</t>
  </si>
  <si>
    <t>00002475</t>
  </si>
  <si>
    <t>University Studies</t>
  </si>
  <si>
    <t>00000467</t>
  </si>
  <si>
    <t>Dai, Hua</t>
  </si>
  <si>
    <t>00000473</t>
  </si>
  <si>
    <t>Dallali, Houman</t>
  </si>
  <si>
    <t>303721</t>
  </si>
  <si>
    <t>00003048</t>
  </si>
  <si>
    <t>00000289</t>
  </si>
  <si>
    <t>00000342</t>
  </si>
  <si>
    <t>Dean, Michelle</t>
  </si>
  <si>
    <t>00000543</t>
  </si>
  <si>
    <t>303766</t>
  </si>
  <si>
    <t>00001960</t>
  </si>
  <si>
    <t>Delgado Helleseter, Miguel</t>
  </si>
  <si>
    <t>00002407</t>
  </si>
  <si>
    <t>00002398</t>
  </si>
  <si>
    <t>00001310</t>
  </si>
  <si>
    <t>DeVaughn, Nichelle</t>
  </si>
  <si>
    <t>00002427</t>
  </si>
  <si>
    <t>00000483</t>
  </si>
  <si>
    <t>00002751</t>
  </si>
  <si>
    <t>00002058</t>
  </si>
  <si>
    <t>Dozono, Tadashi</t>
  </si>
  <si>
    <t>00002912</t>
  </si>
  <si>
    <t>Drescher, Talya</t>
  </si>
  <si>
    <t>00000814</t>
  </si>
  <si>
    <t>Elder, Katherine</t>
  </si>
  <si>
    <t>00002748</t>
  </si>
  <si>
    <t>00000612</t>
  </si>
  <si>
    <t>00000791</t>
  </si>
  <si>
    <t>Fairfax, Emily</t>
  </si>
  <si>
    <t>00002911</t>
  </si>
  <si>
    <t>00001561</t>
  </si>
  <si>
    <t>00000604</t>
  </si>
  <si>
    <t>00002113</t>
  </si>
  <si>
    <t>00001704</t>
  </si>
  <si>
    <t>00000269</t>
  </si>
  <si>
    <t>00000544</t>
  </si>
  <si>
    <t>00000329</t>
  </si>
  <si>
    <t>00000727</t>
  </si>
  <si>
    <t>00002486</t>
  </si>
  <si>
    <t>00000250</t>
  </si>
  <si>
    <t>Grier, Jeanne</t>
  </si>
  <si>
    <t>302748</t>
  </si>
  <si>
    <t>00000245</t>
  </si>
  <si>
    <t>00000547</t>
  </si>
  <si>
    <t>00001315</t>
  </si>
  <si>
    <t>00000328</t>
  </si>
  <si>
    <t>00000611</t>
  </si>
  <si>
    <t>Hannans, Jaime</t>
  </si>
  <si>
    <t>00003625</t>
  </si>
  <si>
    <t>00002596</t>
  </si>
  <si>
    <t>Hayakawa, Kevin (Pending)</t>
  </si>
  <si>
    <t>00003035</t>
  </si>
  <si>
    <t>Herrera, Luz</t>
  </si>
  <si>
    <t>00002483</t>
  </si>
  <si>
    <t>Hurtado, Carolee</t>
  </si>
  <si>
    <t>00002750</t>
  </si>
  <si>
    <t>00000293</t>
  </si>
  <si>
    <t>00002400</t>
  </si>
  <si>
    <t>00000260</t>
  </si>
  <si>
    <t>00003034</t>
  </si>
  <si>
    <t>00001953</t>
  </si>
  <si>
    <t>00000541</t>
  </si>
  <si>
    <t>00002399</t>
  </si>
  <si>
    <t>Kaltman, Eric</t>
  </si>
  <si>
    <t>00000548</t>
  </si>
  <si>
    <t>00000908</t>
  </si>
  <si>
    <t>00000640</t>
  </si>
  <si>
    <t>00002478</t>
  </si>
  <si>
    <t>Kidiocus Carroll</t>
  </si>
  <si>
    <t>0003267</t>
  </si>
  <si>
    <t>00000246</t>
  </si>
  <si>
    <t>Koh, Kyungyeon</t>
  </si>
  <si>
    <t>00002746</t>
  </si>
  <si>
    <t>00003046</t>
  </si>
  <si>
    <t>00002481</t>
  </si>
  <si>
    <t>00003036</t>
  </si>
  <si>
    <t>00000999</t>
  </si>
  <si>
    <t>Lapeyre, Jaime</t>
  </si>
  <si>
    <t>00000318</t>
  </si>
  <si>
    <t>00002482</t>
  </si>
  <si>
    <t>Liang, Priscilla</t>
  </si>
  <si>
    <t>00000550</t>
  </si>
  <si>
    <t>00002403</t>
  </si>
  <si>
    <t>00002491</t>
  </si>
  <si>
    <t>Lu, Zhong</t>
  </si>
  <si>
    <t>00002406</t>
  </si>
  <si>
    <t>00002115</t>
  </si>
  <si>
    <t>00000257</t>
  </si>
  <si>
    <t>00000347</t>
  </si>
  <si>
    <t>00002485</t>
  </si>
  <si>
    <t>00002487</t>
  </si>
  <si>
    <t>00000546</t>
  </si>
  <si>
    <t>00002771</t>
  </si>
  <si>
    <t>Mitchell, Robin</t>
  </si>
  <si>
    <t>00002490</t>
  </si>
  <si>
    <t>00000297</t>
  </si>
  <si>
    <t>00001003</t>
  </si>
  <si>
    <t>Morris, Andrew J. -Showing as vacant in PM</t>
  </si>
  <si>
    <t>00001496</t>
  </si>
  <si>
    <t>00000345</t>
  </si>
  <si>
    <t>Murphy, Brian</t>
  </si>
  <si>
    <t>00002250</t>
  </si>
  <si>
    <t>00000477</t>
  </si>
  <si>
    <t>Naidoo, Kara</t>
  </si>
  <si>
    <t>00002492</t>
  </si>
  <si>
    <t>00002602</t>
  </si>
  <si>
    <t>00001956</t>
  </si>
  <si>
    <t>00002404</t>
  </si>
  <si>
    <t>Paiva, Claudio</t>
  </si>
  <si>
    <t>00000272</t>
  </si>
  <si>
    <t>Park, Kyunghwa</t>
  </si>
  <si>
    <t>00001004</t>
  </si>
  <si>
    <t>00000267</t>
  </si>
  <si>
    <t>00002402</t>
  </si>
  <si>
    <t>Pehlivan Yalcin, Ekin</t>
  </si>
  <si>
    <t>00002116</t>
  </si>
  <si>
    <t>00000662</t>
  </si>
  <si>
    <t>Perez, Aura</t>
  </si>
  <si>
    <t>00003040</t>
  </si>
  <si>
    <t>Pribisko Yen, Melanie</t>
  </si>
  <si>
    <t>00003042</t>
  </si>
  <si>
    <t>00002601</t>
  </si>
  <si>
    <t>00001957</t>
  </si>
  <si>
    <t>Sadiq, Assadullah</t>
  </si>
  <si>
    <t>00000474</t>
  </si>
  <si>
    <t>Sanchez, Luis</t>
  </si>
  <si>
    <t>00001954</t>
  </si>
  <si>
    <t xml:space="preserve">Sevier, Brian </t>
  </si>
  <si>
    <t>00001482</t>
  </si>
  <si>
    <t>Sherman, Cynthia</t>
  </si>
  <si>
    <t>00002429</t>
  </si>
  <si>
    <t>Shilm, Daniel</t>
  </si>
  <si>
    <t>00002913</t>
  </si>
  <si>
    <t>00003045</t>
  </si>
  <si>
    <t>00001001</t>
  </si>
  <si>
    <t>00001002</t>
  </si>
  <si>
    <t>00002401</t>
  </si>
  <si>
    <t>00002119</t>
  </si>
  <si>
    <t>00002059</t>
  </si>
  <si>
    <t>00001955</t>
  </si>
  <si>
    <t>00000652</t>
  </si>
  <si>
    <t>00002489</t>
  </si>
  <si>
    <t>00000645</t>
  </si>
  <si>
    <t>00002118</t>
  </si>
  <si>
    <t>Tomlin, Bryan</t>
  </si>
  <si>
    <t>00002234</t>
  </si>
  <si>
    <t>00002749</t>
  </si>
  <si>
    <t>00000910</t>
  </si>
  <si>
    <t>00002747</t>
  </si>
  <si>
    <t>0003266</t>
  </si>
  <si>
    <t>00000251</t>
  </si>
  <si>
    <t>00002909</t>
  </si>
  <si>
    <t>00002600</t>
  </si>
  <si>
    <t>Wagner, William</t>
  </si>
  <si>
    <t>00000644</t>
  </si>
  <si>
    <t>White, Annie</t>
  </si>
  <si>
    <t>00002409</t>
  </si>
  <si>
    <t>303785</t>
  </si>
  <si>
    <t>00000906</t>
  </si>
  <si>
    <t>00000909</t>
  </si>
  <si>
    <t>Yalcin, Taylan</t>
  </si>
  <si>
    <t>00002603</t>
  </si>
  <si>
    <t>00003037</t>
  </si>
  <si>
    <t>00000316</t>
  </si>
  <si>
    <t>CHAIR</t>
  </si>
  <si>
    <t>FERP</t>
  </si>
  <si>
    <t>2YR TTF</t>
  </si>
  <si>
    <t>REC TTF</t>
  </si>
  <si>
    <t>Additional Release</t>
  </si>
  <si>
    <t>TITLE</t>
  </si>
  <si>
    <t>FTE</t>
  </si>
  <si>
    <t>NAME</t>
  </si>
  <si>
    <t>PROGRAM</t>
  </si>
  <si>
    <t>PROGRAM DETAIL</t>
  </si>
  <si>
    <t>SCHOOL</t>
  </si>
  <si>
    <t>PM#</t>
  </si>
  <si>
    <t>Column1</t>
  </si>
  <si>
    <t>Assistant Professor - Early Childhood Studies</t>
  </si>
  <si>
    <t>SOE</t>
  </si>
  <si>
    <t>FY 21/22 Hire-Moved to ECS 11/1/2021</t>
  </si>
  <si>
    <t>A&amp;S</t>
  </si>
  <si>
    <t>FY 24/25 HIRE</t>
  </si>
  <si>
    <t>NAIS</t>
  </si>
  <si>
    <t>AAS</t>
  </si>
  <si>
    <t>Program Chair &amp; Professor of Anthropology</t>
  </si>
  <si>
    <t>Term Chair end date:  5/24/24</t>
  </si>
  <si>
    <t>Assistant Professor- Anthropology</t>
  </si>
  <si>
    <t>Start Date Aug. 18, 2022</t>
  </si>
  <si>
    <t>Instr Fac AY</t>
  </si>
  <si>
    <t>Spring Hire Start Date Jan. 17</t>
  </si>
  <si>
    <t>Assistant Prof - Anthropology</t>
  </si>
  <si>
    <t>Assistant Professor - Art</t>
  </si>
  <si>
    <t>FERP End date 2026-2027</t>
  </si>
  <si>
    <t xml:space="preserve">Professor - Education </t>
  </si>
  <si>
    <t>Professor - Education</t>
  </si>
  <si>
    <t>Program Chair &amp; Associate Professor of Economics</t>
  </si>
  <si>
    <t>MVS</t>
  </si>
  <si>
    <t>Chair term ended fall 22</t>
  </si>
  <si>
    <t>Associate Professor - Art</t>
  </si>
  <si>
    <t>Professor of Art</t>
  </si>
  <si>
    <t>Professor - Economics</t>
  </si>
  <si>
    <t>Sabbatical 22-23</t>
  </si>
  <si>
    <t>Assistant Professor- Business Communication</t>
  </si>
  <si>
    <t>Assistant Professor - Education</t>
  </si>
  <si>
    <t>FY 21/22 hire-Moved Credential Prog 11/2021</t>
  </si>
  <si>
    <t>Professor - Art</t>
  </si>
  <si>
    <t>Program Chair and Associate Professor</t>
  </si>
  <si>
    <t>Assistant Professor - Accounting</t>
  </si>
  <si>
    <t>Professor - Biology</t>
  </si>
  <si>
    <t>Professor of Education</t>
  </si>
  <si>
    <t>FERP End date 2024-2025</t>
  </si>
  <si>
    <t>AY Instructional Faculty</t>
  </si>
  <si>
    <t xml:space="preserve">Q0350 &amp; Q0410-RT Grants Total 6WTU/ </t>
  </si>
  <si>
    <t>Professor of Management Information Systems</t>
  </si>
  <si>
    <t>Assitant Professor-Biology</t>
  </si>
  <si>
    <t>Associate Professor - Biology</t>
  </si>
  <si>
    <t>Program Chair &amp; Associate Professor of Biology</t>
  </si>
  <si>
    <t>Assistant Professor - Biology</t>
  </si>
  <si>
    <t>Sabbatical full pay, Fall 2023</t>
  </si>
  <si>
    <t>Associate Professor - Economics/Finance</t>
  </si>
  <si>
    <t>Associate Professor - Education</t>
  </si>
  <si>
    <t>6 WTU Faculty Fellow- Moving Expense to OTP office, one time salary savings to cover NTTF cost</t>
  </si>
  <si>
    <t>Q0368-RT Grants AY22-23</t>
  </si>
  <si>
    <t>Q0410-RT Grant 6WTU</t>
  </si>
  <si>
    <t>Instructional Faculty AY</t>
  </si>
  <si>
    <t>00000332</t>
  </si>
  <si>
    <t>FY 22-23 Recruitment</t>
  </si>
  <si>
    <t>Associate Professor of Chemistry</t>
  </si>
  <si>
    <t>Assistant Chair of Business  &amp; Assistant Professor - Management</t>
  </si>
  <si>
    <t>Assistant Chair Bus- p/ Donna's list</t>
  </si>
  <si>
    <t>Professor of Finance</t>
  </si>
  <si>
    <t>Program Chair and Professor - Chemistry</t>
  </si>
  <si>
    <t>Sabbatical full pay, Spring 2024</t>
  </si>
  <si>
    <t>Program Chair &amp; Assistant Professor - Education</t>
  </si>
  <si>
    <t>Term Chair end date:  5/26/23</t>
  </si>
  <si>
    <t>Assistant Professor - Chemistry</t>
  </si>
  <si>
    <t>Program Chair &amp; Professor of Chicana/o Studies</t>
  </si>
  <si>
    <t>Program Chair &amp; Professor - Early Childhood Studies</t>
  </si>
  <si>
    <t>FY20/21 Term Chair end date:  5/27/22</t>
  </si>
  <si>
    <t>Inst Fac AY</t>
  </si>
  <si>
    <t>Associate Professor of Chicana/o Studies</t>
  </si>
  <si>
    <t>Per Donna will be interim chair for chicano studies in Spring</t>
  </si>
  <si>
    <t>Assistant Professor - Communication</t>
  </si>
  <si>
    <t>Associate Professor of Communication</t>
  </si>
  <si>
    <t>Professor of Communication</t>
  </si>
  <si>
    <t>Program Chair and Associate Professor - Communication</t>
  </si>
  <si>
    <t>Program Chair &amp; Professor - Education</t>
  </si>
  <si>
    <t>Sabbatical AY Half Pay, 23-24</t>
  </si>
  <si>
    <t xml:space="preserve"> Associate Professor - Communication</t>
  </si>
  <si>
    <t>Assist Prof - Comp Sci</t>
  </si>
  <si>
    <t>Assistant Professor - Computer Science</t>
  </si>
  <si>
    <t>Associate Professor - Computer Science</t>
  </si>
  <si>
    <t>Professor - Management Information Systems</t>
  </si>
  <si>
    <t>Chair &amp; Professor - Computer Science</t>
  </si>
  <si>
    <t>Chair p/Donna's List</t>
  </si>
  <si>
    <t>Chair not listed in Donna's list</t>
  </si>
  <si>
    <t>TBD-AAPI Recruitment</t>
  </si>
  <si>
    <t>Diversity</t>
  </si>
  <si>
    <t>00003554</t>
  </si>
  <si>
    <t>Professor-Business</t>
  </si>
  <si>
    <t>FERP End Date 2025-2026</t>
  </si>
  <si>
    <t>Professor- Education</t>
  </si>
  <si>
    <t>TBD-NAIS Recruitment</t>
  </si>
  <si>
    <t>00003555</t>
  </si>
  <si>
    <t>00000264</t>
  </si>
  <si>
    <t>00000334</t>
  </si>
  <si>
    <t>Put into History Dept. per Rainer</t>
  </si>
  <si>
    <t>00000539</t>
  </si>
  <si>
    <t>Program Chair &amp; Professor - English</t>
  </si>
  <si>
    <t>Associate Professor - English</t>
  </si>
  <si>
    <t>Fac Dev. Coordinator Provost funding RT 3WTU</t>
  </si>
  <si>
    <t>Assistant Professor - English</t>
  </si>
  <si>
    <t>Professor - English</t>
  </si>
  <si>
    <t>Associate Professor of English</t>
  </si>
  <si>
    <t>Professor of English</t>
  </si>
  <si>
    <t>Director of Faculty Development &amp; Professor</t>
  </si>
  <si>
    <t xml:space="preserve">3WTU Return to research </t>
  </si>
  <si>
    <t>Program Chair &amp; Professor of ESRM</t>
  </si>
  <si>
    <t>Assistant Professor - ESRM</t>
  </si>
  <si>
    <t>Associate Professor - ESRM</t>
  </si>
  <si>
    <t>Q0405-RT Grants AY22-23 3WTU</t>
  </si>
  <si>
    <t>Associate Professor of Marketing</t>
  </si>
  <si>
    <t>00002598</t>
  </si>
  <si>
    <t>Associate Professor of Economics</t>
  </si>
  <si>
    <t>Partial Sabbatical Fall 22</t>
  </si>
  <si>
    <t>Assistant Professor - Spanish</t>
  </si>
  <si>
    <t>Q0335-RT Grants AY22-23 6WTU</t>
  </si>
  <si>
    <t>Program Chair and Professor of Spanish</t>
  </si>
  <si>
    <t>Term Chair end date:  5/26/24</t>
  </si>
  <si>
    <t>Associate Professor - Spanish</t>
  </si>
  <si>
    <t>Professor - Spanish</t>
  </si>
  <si>
    <t>00003041</t>
  </si>
  <si>
    <t>Assistant Professor</t>
  </si>
  <si>
    <t>Department Chair AY</t>
  </si>
  <si>
    <t>Term Chair end date:  5/26/23/ Q0368-RT Grants AY 22-23 4WTU</t>
  </si>
  <si>
    <t>Associate Professor - Health Science</t>
  </si>
  <si>
    <t>Associate Professor - Economics</t>
  </si>
  <si>
    <t>Chair for Bus &amp; Econ beg. Fall 22</t>
  </si>
  <si>
    <t>Associate Professor- Education</t>
  </si>
  <si>
    <t>OTP ECE RT 3WTU</t>
  </si>
  <si>
    <t>Associate Professor - Early Childhood Studies</t>
  </si>
  <si>
    <t>FY 21/22 hire-Moved ECS Prog 11/2021</t>
  </si>
  <si>
    <t>Professor of  Sociology</t>
  </si>
  <si>
    <t>Dept. Chair AY</t>
  </si>
  <si>
    <t>Not chair effective fall 22</t>
  </si>
  <si>
    <t>Associate Professor - Management</t>
  </si>
  <si>
    <t>Program Chair and Professor - History</t>
  </si>
  <si>
    <t>Assistant Professor- History/ Africana Studies</t>
  </si>
  <si>
    <t>Africana Studies</t>
  </si>
  <si>
    <t>Assistant Professor - History</t>
  </si>
  <si>
    <t>Professor - History</t>
  </si>
  <si>
    <t>Associate Professor - History</t>
  </si>
  <si>
    <t>Fellowship Leave (9units p/semester)</t>
  </si>
  <si>
    <t>Assistant Professsor- Africana Studies</t>
  </si>
  <si>
    <t>Professor Math</t>
  </si>
  <si>
    <t>Grant Funded 100%</t>
  </si>
  <si>
    <t>Professor of Math/Department Chair (Buhl)</t>
  </si>
  <si>
    <t>Term Chair end date:  5/27/22; 3 Unit Promesas Q0301</t>
  </si>
  <si>
    <t>Professor - Math</t>
  </si>
  <si>
    <t>Assistant Professor - Math</t>
  </si>
  <si>
    <t>Associate Professor Math</t>
  </si>
  <si>
    <t>Q0350-RT Grants AY22-23 12.5% &amp; SASEI Funding of 30%</t>
  </si>
  <si>
    <t>Assist Prof - Mathematics</t>
  </si>
  <si>
    <t>Professor</t>
  </si>
  <si>
    <t>Assistant Professor- Mathematics</t>
  </si>
  <si>
    <t>Professor of Math (Wyels)</t>
  </si>
  <si>
    <t>Q0391-RT Grants AY22-23 12WTU</t>
  </si>
  <si>
    <t>Assistant Professor - Mechatronics Engineering</t>
  </si>
  <si>
    <t>Assistant Professor - Marketing</t>
  </si>
  <si>
    <t>Assistant Professor - Nursing</t>
  </si>
  <si>
    <t>Assitant Professor - Nursing</t>
  </si>
  <si>
    <t>Assistant Professor, Finance</t>
  </si>
  <si>
    <t>Associate Professor</t>
  </si>
  <si>
    <t>Associate Professor - Nursing</t>
  </si>
  <si>
    <t>Administrator as of 7/8/22-Recruited and see PN 1966</t>
  </si>
  <si>
    <t>Program Chair &amp; Professor - Nursing</t>
  </si>
  <si>
    <t>Chair Nursing</t>
  </si>
  <si>
    <t>00002477</t>
  </si>
  <si>
    <t>Associate Professor, Performing Art</t>
  </si>
  <si>
    <t>Associate Professor - Performing Arts</t>
  </si>
  <si>
    <t xml:space="preserve">Associate Professor- Performing Arts/Africana Studies </t>
  </si>
  <si>
    <t>Program Chair and Professor - Performing Arts</t>
  </si>
  <si>
    <t>Assistant Professor - Business</t>
  </si>
  <si>
    <t>Associate Prof - Performing Arts</t>
  </si>
  <si>
    <t>Professor - Performing Arts</t>
  </si>
  <si>
    <t>Assistant Professor Physics</t>
  </si>
  <si>
    <t>Professor - Physics</t>
  </si>
  <si>
    <t>Program Chair &amp; Professor - Political Science</t>
  </si>
  <si>
    <t xml:space="preserve"> Program Chair and Professor of Political Science</t>
  </si>
  <si>
    <t>Professor -  Political Science</t>
  </si>
  <si>
    <t>Professor - Political Science</t>
  </si>
  <si>
    <t>Associate Professor - Psychology</t>
  </si>
  <si>
    <t>Professor - Psychology</t>
  </si>
  <si>
    <t>Professor of Psychology</t>
  </si>
  <si>
    <t>Q0350-RT Grants AY22-23- 3WTU Fall22</t>
  </si>
  <si>
    <t>Program Chair &amp; Professor of Psychology</t>
  </si>
  <si>
    <t>Assistant Professor-Psychology</t>
  </si>
  <si>
    <r>
      <rPr>
        <b/>
        <sz val="11"/>
        <color rgb="FF000000"/>
        <rFont val="Calibri"/>
        <family val="2"/>
      </rPr>
      <t xml:space="preserve">Sabbatical full pay, Spring 2024 </t>
    </r>
    <r>
      <rPr>
        <sz val="11"/>
        <color rgb="FF000000"/>
        <rFont val="Calibri"/>
        <family val="2"/>
      </rPr>
      <t>Q0368-RT Grant 12.5% (3WTU) and 41% Q fund</t>
    </r>
  </si>
  <si>
    <t>Assistant Professor - Psychology</t>
  </si>
  <si>
    <t>Q03722-RT Grant 12.5% and 30% Q fund</t>
  </si>
  <si>
    <t>Assistant Professor - Sociology</t>
  </si>
  <si>
    <t>Assistant Professor- Sociology</t>
  </si>
  <si>
    <t>Professor of Sociology</t>
  </si>
  <si>
    <t>3 WTU Return to research in Spring 23</t>
  </si>
  <si>
    <t>Associate Professor - Sociology</t>
  </si>
  <si>
    <t>Associate Professor of Sociology</t>
  </si>
  <si>
    <t>RT Grants AY22-23 Q0367 3WTU Fall buyout</t>
  </si>
  <si>
    <t>Assist Professor - Sociology</t>
  </si>
  <si>
    <t>9 WTU buyout with Grant Q0418 and 12 WTU buyout from VP office</t>
  </si>
  <si>
    <t>Professor of Health Science</t>
  </si>
  <si>
    <t>NEW</t>
  </si>
  <si>
    <t>Pending- Fall 24 Recruitment</t>
  </si>
  <si>
    <t>00000343</t>
  </si>
  <si>
    <t>00000545</t>
  </si>
  <si>
    <t>00000247</t>
  </si>
  <si>
    <t>Frozen PN- Hold for M. Francois/J. Balen</t>
  </si>
  <si>
    <t>Physical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</si>
</sst>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8" formatCode="_(* #,##0_);_(* \(#,##0\);_(* &quot;-&quot;??_);_(@_)"/>
    <numFmt numFmtId="169" formatCode="&quot;$&quot;#,##0"/>
    <numFmt numFmtId="170" formatCode="_(* #,##0.0_);_(* \(#,##0.0\);_(* &quot;-&quot;??_);_(@_)"/>
    <numFmt numFmtId="171" formatCode="0.0000000000000"/>
  </numFmts>
  <fonts count="1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i/>
      <sz val="12"/>
      <color theme="8" tint="-0.249977111117893"/>
      <name val="Calibri"/>
      <family val="2"/>
      <scheme val="minor"/>
    </font>
    <font>
      <b/>
      <sz val="14"/>
      <color rgb="FF7030A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i/>
      <strike/>
      <sz val="12"/>
      <name val="Calibri"/>
      <family val="2"/>
      <scheme val="minor"/>
    </font>
    <font>
      <b/>
      <strike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1"/>
      <color theme="1"/>
      <name val="Calibri"/>
      <family val="2"/>
      <charset val="1"/>
    </font>
    <font>
      <u/>
      <sz val="11"/>
      <color rgb="FF212121"/>
      <name val="Calibri"/>
      <family val="2"/>
      <charset val="1"/>
    </font>
    <font>
      <b/>
      <i/>
      <sz val="12"/>
      <color rgb="FFFFFFFF"/>
      <name val="Calibri"/>
      <family val="2"/>
      <scheme val="minor"/>
    </font>
    <font>
      <sz val="12"/>
      <color rgb="FFFFFFFF"/>
      <name val="Calibri"/>
      <family val="2"/>
    </font>
    <font>
      <b/>
      <sz val="16"/>
      <color rgb="FFFFFFFF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charset val="1"/>
    </font>
    <font>
      <sz val="12"/>
      <color theme="4"/>
      <name val="Calibri"/>
      <family val="2"/>
      <scheme val="minor"/>
    </font>
    <font>
      <sz val="14"/>
      <color rgb="FF4472C4"/>
      <name val="Calibri"/>
      <family val="2"/>
      <scheme val="minor"/>
    </font>
    <font>
      <sz val="14"/>
      <color rgb="FF000000"/>
      <name val="Calibri"/>
      <family val="2"/>
    </font>
    <font>
      <b/>
      <sz val="10"/>
      <color rgb="FF000000"/>
      <name val="Arial Unicode MS"/>
      <family val="2"/>
    </font>
    <font>
      <sz val="10"/>
      <color theme="1"/>
      <name val="Arial"/>
      <family val="2"/>
    </font>
    <font>
      <sz val="10"/>
      <color rgb="FF000000"/>
      <name val="Arial Unicode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 Unicode MS"/>
      <family val="2"/>
    </font>
    <font>
      <b/>
      <sz val="10"/>
      <name val="Arial Unicode MS"/>
      <family val="2"/>
    </font>
    <font>
      <sz val="10"/>
      <color theme="1"/>
      <name val="Arial Unicode MS"/>
      <family val="2"/>
    </font>
    <font>
      <sz val="10"/>
      <name val="Arial Unicode MS"/>
      <family val="2"/>
    </font>
    <font>
      <sz val="10"/>
      <color rgb="FFFF0000"/>
      <name val="Arial Unicode MS"/>
      <family val="2"/>
    </font>
    <font>
      <b/>
      <sz val="10"/>
      <color rgb="FFFF0000"/>
      <name val="Arial Unicode MS"/>
      <family val="2"/>
    </font>
    <font>
      <sz val="12"/>
      <color rgb="FF4472C4"/>
      <name val="Calibri"/>
      <family val="2"/>
    </font>
    <font>
      <b/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242424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</font>
    <font>
      <b/>
      <sz val="12"/>
      <color rgb="FF203764"/>
      <name val="Calibri"/>
      <family val="2"/>
    </font>
    <font>
      <b/>
      <sz val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00000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rgb="FF000000"/>
      <name val="Arial Unicode MS"/>
      <family val="2"/>
    </font>
    <font>
      <sz val="10"/>
      <color rgb="FFFF0000"/>
      <name val="Arial Unicode MS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i/>
      <sz val="12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51515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4"/>
      <color theme="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theme="5"/>
        <bgColor indexed="64"/>
      </patternFill>
    </fill>
  </fills>
  <borders count="1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auto="1"/>
      </right>
      <top style="medium">
        <color rgb="FF000000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000000"/>
      </top>
      <bottom style="double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9" fontId="5" fillId="0" borderId="0" applyFont="0" applyFill="0" applyBorder="0" applyAlignment="0" applyProtection="0"/>
    <xf numFmtId="0" fontId="2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0" fontId="3" fillId="0" borderId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0" fillId="0" borderId="0"/>
    <xf numFmtId="0" fontId="70" fillId="0" borderId="0"/>
    <xf numFmtId="44" fontId="5" fillId="0" borderId="0" applyFont="0" applyFill="0" applyBorder="0" applyAlignment="0" applyProtection="0"/>
  </cellStyleXfs>
  <cellXfs count="1198">
    <xf numFmtId="0" fontId="0" fillId="0" borderId="0" xfId="0"/>
    <xf numFmtId="0" fontId="7" fillId="0" borderId="0" xfId="0" applyFont="1"/>
    <xf numFmtId="0" fontId="0" fillId="0" borderId="25" xfId="0" applyBorder="1"/>
    <xf numFmtId="0" fontId="7" fillId="0" borderId="0" xfId="0" applyFont="1" applyAlignment="1">
      <alignment wrapText="1"/>
    </xf>
    <xf numFmtId="164" fontId="0" fillId="0" borderId="3" xfId="0" applyNumberFormat="1" applyBorder="1"/>
    <xf numFmtId="164" fontId="0" fillId="0" borderId="26" xfId="0" applyNumberFormat="1" applyBorder="1"/>
    <xf numFmtId="164" fontId="0" fillId="0" borderId="41" xfId="0" applyNumberFormat="1" applyBorder="1"/>
    <xf numFmtId="0" fontId="13" fillId="0" borderId="0" xfId="0" applyFont="1"/>
    <xf numFmtId="0" fontId="14" fillId="0" borderId="30" xfId="0" applyFont="1" applyBorder="1" applyAlignment="1">
      <alignment horizontal="center"/>
    </xf>
    <xf numFmtId="0" fontId="14" fillId="0" borderId="0" xfId="0" applyFont="1"/>
    <xf numFmtId="0" fontId="0" fillId="2" borderId="33" xfId="0" applyFill="1" applyBorder="1" applyAlignment="1">
      <alignment horizontal="right"/>
    </xf>
    <xf numFmtId="0" fontId="10" fillId="0" borderId="0" xfId="0" applyFont="1"/>
    <xf numFmtId="0" fontId="0" fillId="2" borderId="16" xfId="0" applyFill="1" applyBorder="1" applyAlignment="1">
      <alignment horizontal="right"/>
    </xf>
    <xf numFmtId="164" fontId="0" fillId="2" borderId="17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4" borderId="11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164" fontId="0" fillId="4" borderId="17" xfId="0" applyNumberFormat="1" applyFill="1" applyBorder="1"/>
    <xf numFmtId="0" fontId="0" fillId="4" borderId="6" xfId="0" applyFill="1" applyBorder="1" applyAlignment="1">
      <alignment horizontal="right"/>
    </xf>
    <xf numFmtId="164" fontId="0" fillId="4" borderId="7" xfId="0" applyNumberFormat="1" applyFill="1" applyBorder="1"/>
    <xf numFmtId="0" fontId="11" fillId="0" borderId="1" xfId="0" applyFont="1" applyBorder="1"/>
    <xf numFmtId="0" fontId="0" fillId="0" borderId="2" xfId="0" applyBorder="1"/>
    <xf numFmtId="0" fontId="0" fillId="0" borderId="3" xfId="0" applyBorder="1"/>
    <xf numFmtId="0" fontId="11" fillId="0" borderId="29" xfId="0" applyFont="1" applyBorder="1"/>
    <xf numFmtId="0" fontId="0" fillId="0" borderId="37" xfId="0" applyBorder="1"/>
    <xf numFmtId="0" fontId="7" fillId="0" borderId="29" xfId="0" applyFont="1" applyBorder="1"/>
    <xf numFmtId="0" fontId="7" fillId="0" borderId="13" xfId="0" applyFont="1" applyBorder="1"/>
    <xf numFmtId="0" fontId="7" fillId="5" borderId="28" xfId="0" applyFont="1" applyFill="1" applyBorder="1"/>
    <xf numFmtId="0" fontId="7" fillId="0" borderId="5" xfId="0" applyFont="1" applyBorder="1"/>
    <xf numFmtId="0" fontId="7" fillId="2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2" fillId="5" borderId="45" xfId="0" applyFont="1" applyFill="1" applyBorder="1"/>
    <xf numFmtId="0" fontId="0" fillId="0" borderId="10" xfId="0" applyBorder="1"/>
    <xf numFmtId="0" fontId="0" fillId="5" borderId="12" xfId="0" applyFill="1" applyBorder="1"/>
    <xf numFmtId="0" fontId="0" fillId="0" borderId="18" xfId="0" applyBorder="1"/>
    <xf numFmtId="0" fontId="0" fillId="0" borderId="16" xfId="0" applyBorder="1"/>
    <xf numFmtId="0" fontId="0" fillId="5" borderId="17" xfId="0" applyFill="1" applyBorder="1"/>
    <xf numFmtId="0" fontId="0" fillId="0" borderId="23" xfId="0" applyBorder="1"/>
    <xf numFmtId="0" fontId="0" fillId="0" borderId="21" xfId="0" applyBorder="1"/>
    <xf numFmtId="0" fontId="0" fillId="5" borderId="22" xfId="0" applyFill="1" applyBorder="1"/>
    <xf numFmtId="0" fontId="10" fillId="0" borderId="38" xfId="0" applyFont="1" applyBorder="1"/>
    <xf numFmtId="0" fontId="15" fillId="0" borderId="39" xfId="0" applyFont="1" applyBorder="1"/>
    <xf numFmtId="0" fontId="10" fillId="0" borderId="26" xfId="0" applyFont="1" applyBorder="1"/>
    <xf numFmtId="0" fontId="10" fillId="0" borderId="29" xfId="0" applyFont="1" applyBorder="1"/>
    <xf numFmtId="0" fontId="15" fillId="0" borderId="0" xfId="0" applyFont="1"/>
    <xf numFmtId="0" fontId="10" fillId="0" borderId="37" xfId="0" applyFont="1" applyBorder="1"/>
    <xf numFmtId="0" fontId="7" fillId="0" borderId="46" xfId="0" applyFont="1" applyBorder="1"/>
    <xf numFmtId="0" fontId="7" fillId="0" borderId="47" xfId="0" applyFont="1" applyBorder="1"/>
    <xf numFmtId="0" fontId="7" fillId="2" borderId="47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12" fillId="5" borderId="3" xfId="0" applyFont="1" applyFill="1" applyBorder="1"/>
    <xf numFmtId="0" fontId="10" fillId="0" borderId="40" xfId="0" applyFont="1" applyBorder="1"/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6" fillId="5" borderId="48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24" xfId="0" applyFont="1" applyBorder="1" applyAlignment="1">
      <alignment horizontal="right"/>
    </xf>
    <xf numFmtId="0" fontId="16" fillId="0" borderId="0" xfId="0" applyFont="1"/>
    <xf numFmtId="0" fontId="16" fillId="0" borderId="50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/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1" xfId="0" applyBorder="1"/>
    <xf numFmtId="0" fontId="22" fillId="0" borderId="0" xfId="0" applyFont="1" applyAlignment="1">
      <alignment horizontal="right"/>
    </xf>
    <xf numFmtId="0" fontId="0" fillId="0" borderId="42" xfId="0" applyBorder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1" fillId="6" borderId="0" xfId="0" applyFont="1" applyFill="1" applyAlignment="1">
      <alignment horizontal="center"/>
    </xf>
    <xf numFmtId="0" fontId="25" fillId="0" borderId="0" xfId="0" applyFont="1"/>
    <xf numFmtId="9" fontId="0" fillId="0" borderId="0" xfId="1" applyFont="1"/>
    <xf numFmtId="0" fontId="0" fillId="3" borderId="1" xfId="0" applyFill="1" applyBorder="1"/>
    <xf numFmtId="0" fontId="0" fillId="3" borderId="2" xfId="0" applyFill="1" applyBorder="1" applyAlignment="1">
      <alignment horizontal="right"/>
    </xf>
    <xf numFmtId="164" fontId="0" fillId="3" borderId="3" xfId="0" applyNumberFormat="1" applyFill="1" applyBorder="1"/>
    <xf numFmtId="0" fontId="0" fillId="3" borderId="29" xfId="0" applyFill="1" applyBorder="1"/>
    <xf numFmtId="0" fontId="0" fillId="3" borderId="0" xfId="0" applyFill="1" applyAlignment="1">
      <alignment horizontal="right"/>
    </xf>
    <xf numFmtId="0" fontId="0" fillId="3" borderId="37" xfId="0" applyFill="1" applyBorder="1"/>
    <xf numFmtId="0" fontId="0" fillId="3" borderId="42" xfId="0" applyFill="1" applyBorder="1"/>
    <xf numFmtId="0" fontId="0" fillId="3" borderId="24" xfId="0" applyFill="1" applyBorder="1" applyAlignment="1">
      <alignment horizontal="right"/>
    </xf>
    <xf numFmtId="164" fontId="0" fillId="3" borderId="41" xfId="0" applyNumberFormat="1" applyFill="1" applyBorder="1"/>
    <xf numFmtId="0" fontId="17" fillId="3" borderId="25" xfId="0" applyFont="1" applyFill="1" applyBorder="1"/>
    <xf numFmtId="0" fontId="11" fillId="3" borderId="4" xfId="0" applyFont="1" applyFill="1" applyBorder="1" applyAlignment="1">
      <alignment horizontal="right"/>
    </xf>
    <xf numFmtId="6" fontId="11" fillId="3" borderId="26" xfId="0" applyNumberFormat="1" applyFont="1" applyFill="1" applyBorder="1"/>
    <xf numFmtId="6" fontId="17" fillId="0" borderId="0" xfId="0" applyNumberFormat="1" applyFont="1"/>
    <xf numFmtId="8" fontId="17" fillId="0" borderId="0" xfId="0" applyNumberFormat="1" applyFont="1"/>
    <xf numFmtId="8" fontId="26" fillId="0" borderId="0" xfId="0" applyNumberFormat="1" applyFont="1"/>
    <xf numFmtId="0" fontId="0" fillId="4" borderId="1" xfId="0" applyFill="1" applyBorder="1"/>
    <xf numFmtId="0" fontId="0" fillId="4" borderId="2" xfId="0" applyFill="1" applyBorder="1" applyAlignment="1">
      <alignment horizontal="right"/>
    </xf>
    <xf numFmtId="164" fontId="0" fillId="4" borderId="3" xfId="0" applyNumberFormat="1" applyFill="1" applyBorder="1"/>
    <xf numFmtId="0" fontId="0" fillId="4" borderId="29" xfId="0" applyFill="1" applyBorder="1"/>
    <xf numFmtId="0" fontId="0" fillId="4" borderId="0" xfId="0" applyFill="1" applyAlignment="1">
      <alignment horizontal="right"/>
    </xf>
    <xf numFmtId="164" fontId="0" fillId="4" borderId="28" xfId="0" applyNumberFormat="1" applyFill="1" applyBorder="1"/>
    <xf numFmtId="0" fontId="0" fillId="4" borderId="37" xfId="0" applyFill="1" applyBorder="1"/>
    <xf numFmtId="0" fontId="0" fillId="4" borderId="42" xfId="0" applyFill="1" applyBorder="1"/>
    <xf numFmtId="0" fontId="0" fillId="4" borderId="24" xfId="0" applyFill="1" applyBorder="1" applyAlignment="1">
      <alignment horizontal="right"/>
    </xf>
    <xf numFmtId="164" fontId="0" fillId="4" borderId="41" xfId="0" applyNumberFormat="1" applyFill="1" applyBorder="1"/>
    <xf numFmtId="0" fontId="17" fillId="4" borderId="25" xfId="0" applyFont="1" applyFill="1" applyBorder="1"/>
    <xf numFmtId="0" fontId="11" fillId="4" borderId="4" xfId="0" applyFont="1" applyFill="1" applyBorder="1" applyAlignment="1">
      <alignment horizontal="right"/>
    </xf>
    <xf numFmtId="165" fontId="11" fillId="4" borderId="26" xfId="1" applyNumberFormat="1" applyFont="1" applyFill="1" applyBorder="1"/>
    <xf numFmtId="0" fontId="0" fillId="4" borderId="54" xfId="0" applyFill="1" applyBorder="1"/>
    <xf numFmtId="0" fontId="17" fillId="6" borderId="16" xfId="0" applyFont="1" applyFill="1" applyBorder="1" applyAlignment="1">
      <alignment horizontal="center"/>
    </xf>
    <xf numFmtId="1" fontId="17" fillId="6" borderId="16" xfId="0" applyNumberFormat="1" applyFont="1" applyFill="1" applyBorder="1" applyAlignment="1">
      <alignment horizontal="center"/>
    </xf>
    <xf numFmtId="164" fontId="11" fillId="6" borderId="21" xfId="0" applyNumberFormat="1" applyFont="1" applyFill="1" applyBorder="1" applyAlignment="1">
      <alignment horizontal="center"/>
    </xf>
    <xf numFmtId="0" fontId="16" fillId="6" borderId="43" xfId="0" applyFont="1" applyFill="1" applyBorder="1" applyAlignment="1">
      <alignment horizontal="center"/>
    </xf>
    <xf numFmtId="164" fontId="18" fillId="6" borderId="30" xfId="0" applyNumberFormat="1" applyFont="1" applyFill="1" applyBorder="1" applyAlignment="1">
      <alignment horizontal="center"/>
    </xf>
    <xf numFmtId="164" fontId="23" fillId="6" borderId="11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164" fontId="17" fillId="4" borderId="16" xfId="0" applyNumberFormat="1" applyFont="1" applyFill="1" applyBorder="1" applyAlignment="1">
      <alignment horizontal="center"/>
    </xf>
    <xf numFmtId="164" fontId="11" fillId="4" borderId="21" xfId="0" applyNumberFormat="1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164" fontId="18" fillId="4" borderId="30" xfId="0" applyNumberFormat="1" applyFont="1" applyFill="1" applyBorder="1" applyAlignment="1">
      <alignment horizontal="center"/>
    </xf>
    <xf numFmtId="164" fontId="18" fillId="4" borderId="43" xfId="0" applyNumberFormat="1" applyFont="1" applyFill="1" applyBorder="1" applyAlignment="1">
      <alignment horizontal="center"/>
    </xf>
    <xf numFmtId="164" fontId="23" fillId="4" borderId="16" xfId="0" applyNumberFormat="1" applyFont="1" applyFill="1" applyBorder="1" applyAlignment="1">
      <alignment horizontal="center"/>
    </xf>
    <xf numFmtId="1" fontId="17" fillId="4" borderId="16" xfId="0" applyNumberFormat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7" borderId="55" xfId="3" applyFont="1" applyFill="1" applyBorder="1"/>
    <xf numFmtId="0" fontId="0" fillId="0" borderId="55" xfId="3" applyFont="1" applyBorder="1"/>
    <xf numFmtId="0" fontId="0" fillId="7" borderId="55" xfId="3" applyFont="1" applyFill="1" applyBorder="1" applyAlignment="1">
      <alignment horizontal="center"/>
    </xf>
    <xf numFmtId="0" fontId="0" fillId="0" borderId="55" xfId="3" applyFont="1" applyBorder="1" applyAlignment="1">
      <alignment horizontal="center"/>
    </xf>
    <xf numFmtId="0" fontId="0" fillId="0" borderId="55" xfId="3" quotePrefix="1" applyFont="1" applyBorder="1" applyAlignment="1">
      <alignment horizontal="center"/>
    </xf>
    <xf numFmtId="0" fontId="0" fillId="7" borderId="55" xfId="3" quotePrefix="1" applyFont="1" applyFill="1" applyBorder="1" applyAlignment="1">
      <alignment horizontal="center"/>
    </xf>
    <xf numFmtId="0" fontId="0" fillId="7" borderId="55" xfId="0" applyFill="1" applyBorder="1"/>
    <xf numFmtId="0" fontId="0" fillId="0" borderId="55" xfId="0" applyBorder="1"/>
    <xf numFmtId="0" fontId="0" fillId="7" borderId="0" xfId="3" applyFont="1" applyFill="1"/>
    <xf numFmtId="0" fontId="0" fillId="7" borderId="0" xfId="3" applyFont="1" applyFill="1" applyAlignment="1">
      <alignment horizontal="center"/>
    </xf>
    <xf numFmtId="0" fontId="0" fillId="7" borderId="0" xfId="0" applyFill="1"/>
    <xf numFmtId="0" fontId="27" fillId="0" borderId="0" xfId="0" applyFont="1" applyAlignment="1">
      <alignment wrapText="1"/>
    </xf>
    <xf numFmtId="0" fontId="6" fillId="0" borderId="55" xfId="3" applyFont="1" applyBorder="1" applyAlignment="1">
      <alignment horizontal="center"/>
    </xf>
    <xf numFmtId="0" fontId="6" fillId="0" borderId="55" xfId="3" quotePrefix="1" applyFont="1" applyBorder="1" applyAlignment="1">
      <alignment horizontal="center"/>
    </xf>
    <xf numFmtId="0" fontId="6" fillId="0" borderId="0" xfId="3" quotePrefix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0" applyFont="1"/>
    <xf numFmtId="0" fontId="7" fillId="8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7" fillId="0" borderId="0" xfId="0" applyFont="1" applyAlignment="1">
      <alignment horizontal="right" vertical="center" textRotation="90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/>
    <xf numFmtId="0" fontId="0" fillId="0" borderId="29" xfId="0" applyBorder="1"/>
    <xf numFmtId="0" fontId="0" fillId="0" borderId="0" xfId="0" applyAlignment="1">
      <alignment horizontal="left"/>
    </xf>
    <xf numFmtId="164" fontId="2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10" borderId="51" xfId="0" applyFont="1" applyFill="1" applyBorder="1" applyAlignment="1">
      <alignment horizontal="center" vertical="center"/>
    </xf>
    <xf numFmtId="0" fontId="31" fillId="10" borderId="52" xfId="0" applyFont="1" applyFill="1" applyBorder="1" applyAlignment="1">
      <alignment horizontal="center" vertical="center"/>
    </xf>
    <xf numFmtId="0" fontId="31" fillId="10" borderId="52" xfId="0" applyFont="1" applyFill="1" applyBorder="1" applyAlignment="1">
      <alignment horizontal="center" vertical="center" wrapText="1"/>
    </xf>
    <xf numFmtId="0" fontId="31" fillId="10" borderId="53" xfId="0" applyFont="1" applyFill="1" applyBorder="1" applyAlignment="1">
      <alignment horizontal="center" vertical="center" wrapText="1"/>
    </xf>
    <xf numFmtId="0" fontId="12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0" fillId="0" borderId="56" xfId="3" applyFont="1" applyBorder="1"/>
    <xf numFmtId="0" fontId="0" fillId="0" borderId="56" xfId="3" applyFont="1" applyBorder="1" applyAlignment="1">
      <alignment horizontal="center"/>
    </xf>
    <xf numFmtId="0" fontId="0" fillId="0" borderId="56" xfId="0" applyBorder="1"/>
    <xf numFmtId="164" fontId="31" fillId="9" borderId="34" xfId="0" applyNumberFormat="1" applyFont="1" applyFill="1" applyBorder="1"/>
    <xf numFmtId="0" fontId="27" fillId="0" borderId="39" xfId="0" applyFont="1" applyBorder="1"/>
    <xf numFmtId="0" fontId="27" fillId="0" borderId="47" xfId="0" applyFont="1" applyBorder="1"/>
    <xf numFmtId="0" fontId="0" fillId="3" borderId="54" xfId="0" applyFill="1" applyBorder="1"/>
    <xf numFmtId="164" fontId="0" fillId="3" borderId="28" xfId="0" applyNumberFormat="1" applyFill="1" applyBorder="1"/>
    <xf numFmtId="165" fontId="11" fillId="3" borderId="26" xfId="1" applyNumberFormat="1" applyFont="1" applyFill="1" applyBorder="1"/>
    <xf numFmtId="6" fontId="11" fillId="4" borderId="26" xfId="0" applyNumberFormat="1" applyFont="1" applyFill="1" applyBorder="1"/>
    <xf numFmtId="0" fontId="0" fillId="5" borderId="1" xfId="0" applyFill="1" applyBorder="1"/>
    <xf numFmtId="0" fontId="0" fillId="5" borderId="2" xfId="0" applyFill="1" applyBorder="1" applyAlignment="1">
      <alignment horizontal="right"/>
    </xf>
    <xf numFmtId="164" fontId="0" fillId="5" borderId="3" xfId="0" applyNumberFormat="1" applyFill="1" applyBorder="1"/>
    <xf numFmtId="0" fontId="0" fillId="5" borderId="42" xfId="0" applyFill="1" applyBorder="1"/>
    <xf numFmtId="0" fontId="0" fillId="5" borderId="24" xfId="0" applyFill="1" applyBorder="1" applyAlignment="1">
      <alignment horizontal="right"/>
    </xf>
    <xf numFmtId="164" fontId="0" fillId="5" borderId="41" xfId="0" applyNumberFormat="1" applyFill="1" applyBorder="1"/>
    <xf numFmtId="0" fontId="17" fillId="5" borderId="25" xfId="0" applyFont="1" applyFill="1" applyBorder="1"/>
    <xf numFmtId="0" fontId="11" fillId="5" borderId="4" xfId="0" applyFont="1" applyFill="1" applyBorder="1" applyAlignment="1">
      <alignment horizontal="right"/>
    </xf>
    <xf numFmtId="0" fontId="17" fillId="5" borderId="51" xfId="0" applyFont="1" applyFill="1" applyBorder="1"/>
    <xf numFmtId="0" fontId="11" fillId="5" borderId="52" xfId="0" applyFont="1" applyFill="1" applyBorder="1" applyAlignment="1">
      <alignment horizontal="right"/>
    </xf>
    <xf numFmtId="6" fontId="11" fillId="5" borderId="53" xfId="0" applyNumberFormat="1" applyFont="1" applyFill="1" applyBorder="1"/>
    <xf numFmtId="164" fontId="11" fillId="5" borderId="26" xfId="0" applyNumberFormat="1" applyFont="1" applyFill="1" applyBorder="1"/>
    <xf numFmtId="1" fontId="0" fillId="3" borderId="3" xfId="0" applyNumberFormat="1" applyFill="1" applyBorder="1"/>
    <xf numFmtId="1" fontId="0" fillId="3" borderId="41" xfId="0" applyNumberFormat="1" applyFill="1" applyBorder="1"/>
    <xf numFmtId="1" fontId="11" fillId="3" borderId="26" xfId="0" applyNumberFormat="1" applyFont="1" applyFill="1" applyBorder="1"/>
    <xf numFmtId="1" fontId="0" fillId="4" borderId="3" xfId="0" applyNumberFormat="1" applyFill="1" applyBorder="1"/>
    <xf numFmtId="1" fontId="11" fillId="4" borderId="26" xfId="0" applyNumberFormat="1" applyFont="1" applyFill="1" applyBorder="1"/>
    <xf numFmtId="0" fontId="17" fillId="5" borderId="57" xfId="0" applyFont="1" applyFill="1" applyBorder="1"/>
    <xf numFmtId="0" fontId="11" fillId="5" borderId="58" xfId="0" applyFont="1" applyFill="1" applyBorder="1" applyAlignment="1">
      <alignment horizontal="right"/>
    </xf>
    <xf numFmtId="165" fontId="11" fillId="5" borderId="59" xfId="1" applyNumberFormat="1" applyFont="1" applyFill="1" applyBorder="1"/>
    <xf numFmtId="1" fontId="0" fillId="4" borderId="41" xfId="0" applyNumberFormat="1" applyFill="1" applyBorder="1"/>
    <xf numFmtId="0" fontId="18" fillId="0" borderId="0" xfId="0" applyFont="1" applyAlignment="1">
      <alignment horizontal="right"/>
    </xf>
    <xf numFmtId="164" fontId="18" fillId="6" borderId="11" xfId="0" applyNumberFormat="1" applyFont="1" applyFill="1" applyBorder="1" applyAlignment="1">
      <alignment horizontal="center"/>
    </xf>
    <xf numFmtId="164" fontId="17" fillId="0" borderId="0" xfId="0" applyNumberFormat="1" applyFont="1"/>
    <xf numFmtId="164" fontId="19" fillId="0" borderId="0" xfId="0" applyNumberFormat="1" applyFont="1" applyAlignment="1">
      <alignment horizontal="right"/>
    </xf>
    <xf numFmtId="0" fontId="34" fillId="6" borderId="11" xfId="4" applyFont="1" applyFill="1" applyBorder="1" applyAlignment="1">
      <alignment horizontal="center" vertical="center"/>
    </xf>
    <xf numFmtId="0" fontId="34" fillId="6" borderId="11" xfId="4" applyFont="1" applyFill="1" applyBorder="1" applyAlignment="1">
      <alignment horizontal="center" vertical="center" wrapText="1"/>
    </xf>
    <xf numFmtId="43" fontId="34" fillId="6" borderId="11" xfId="5" applyFont="1" applyFill="1" applyBorder="1" applyAlignment="1">
      <alignment horizontal="center" vertical="center"/>
    </xf>
    <xf numFmtId="0" fontId="34" fillId="0" borderId="0" xfId="4" applyFont="1" applyAlignment="1">
      <alignment vertical="center"/>
    </xf>
    <xf numFmtId="0" fontId="3" fillId="0" borderId="0" xfId="4" applyAlignment="1">
      <alignment horizontal="center"/>
    </xf>
    <xf numFmtId="0" fontId="3" fillId="0" borderId="0" xfId="4"/>
    <xf numFmtId="43" fontId="0" fillId="0" borderId="0" xfId="5" applyFont="1"/>
    <xf numFmtId="0" fontId="36" fillId="0" borderId="0" xfId="7" applyFont="1" applyAlignment="1">
      <alignment horizontal="center" vertical="center"/>
    </xf>
    <xf numFmtId="0" fontId="3" fillId="0" borderId="0" xfId="4" applyAlignment="1">
      <alignment horizontal="left"/>
    </xf>
    <xf numFmtId="0" fontId="0" fillId="0" borderId="0" xfId="6" applyFont="1" applyAlignment="1">
      <alignment horizontal="center"/>
    </xf>
    <xf numFmtId="0" fontId="0" fillId="0" borderId="0" xfId="4" applyFont="1" applyAlignment="1">
      <alignment horizontal="center"/>
    </xf>
    <xf numFmtId="43" fontId="0" fillId="0" borderId="0" xfId="5" applyFont="1" applyFill="1"/>
    <xf numFmtId="0" fontId="36" fillId="0" borderId="0" xfId="7" applyFont="1" applyAlignment="1">
      <alignment horizontal="center"/>
    </xf>
    <xf numFmtId="0" fontId="3" fillId="0" borderId="0" xfId="4" quotePrefix="1" applyAlignment="1">
      <alignment horizontal="center"/>
    </xf>
    <xf numFmtId="0" fontId="0" fillId="0" borderId="0" xfId="4" applyFont="1" applyAlignment="1">
      <alignment horizontal="left"/>
    </xf>
    <xf numFmtId="0" fontId="33" fillId="0" borderId="0" xfId="4" applyFont="1"/>
    <xf numFmtId="0" fontId="0" fillId="0" borderId="0" xfId="4" quotePrefix="1" applyFont="1" applyAlignment="1">
      <alignment horizontal="center"/>
    </xf>
    <xf numFmtId="0" fontId="9" fillId="0" borderId="0" xfId="4" applyFont="1" applyAlignment="1">
      <alignment horizontal="left"/>
    </xf>
    <xf numFmtId="164" fontId="0" fillId="4" borderId="37" xfId="0" applyNumberFormat="1" applyFill="1" applyBorder="1"/>
    <xf numFmtId="164" fontId="17" fillId="6" borderId="16" xfId="0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right"/>
    </xf>
    <xf numFmtId="0" fontId="3" fillId="0" borderId="55" xfId="4" applyBorder="1"/>
    <xf numFmtId="0" fontId="42" fillId="12" borderId="0" xfId="0" applyFont="1" applyFill="1"/>
    <xf numFmtId="0" fontId="43" fillId="12" borderId="0" xfId="0" applyFont="1" applyFill="1" applyAlignment="1">
      <alignment horizontal="center"/>
    </xf>
    <xf numFmtId="164" fontId="43" fillId="12" borderId="0" xfId="0" applyNumberFormat="1" applyFont="1" applyFill="1" applyAlignment="1">
      <alignment horizontal="center"/>
    </xf>
    <xf numFmtId="164" fontId="44" fillId="13" borderId="0" xfId="0" applyNumberFormat="1" applyFont="1" applyFill="1" applyAlignment="1">
      <alignment horizontal="center"/>
    </xf>
    <xf numFmtId="0" fontId="42" fillId="14" borderId="0" xfId="0" applyFont="1" applyFill="1"/>
    <xf numFmtId="0" fontId="39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7" fillId="0" borderId="36" xfId="0" applyFont="1" applyBorder="1"/>
    <xf numFmtId="164" fontId="6" fillId="0" borderId="19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27" fillId="0" borderId="62" xfId="0" applyFont="1" applyBorder="1"/>
    <xf numFmtId="10" fontId="0" fillId="0" borderId="0" xfId="0" applyNumberFormat="1" applyAlignment="1">
      <alignment horizontal="center"/>
    </xf>
    <xf numFmtId="0" fontId="32" fillId="0" borderId="0" xfId="0" applyFont="1" applyAlignment="1">
      <alignment horizontal="left"/>
    </xf>
    <xf numFmtId="10" fontId="6" fillId="0" borderId="0" xfId="1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67" xfId="0" applyNumberFormat="1" applyFont="1" applyBorder="1" applyAlignment="1">
      <alignment horizontal="center"/>
    </xf>
    <xf numFmtId="164" fontId="6" fillId="0" borderId="68" xfId="0" applyNumberFormat="1" applyFont="1" applyBorder="1" applyAlignment="1">
      <alignment horizontal="center"/>
    </xf>
    <xf numFmtId="164" fontId="6" fillId="0" borderId="70" xfId="0" applyNumberFormat="1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71" xfId="0" applyFont="1" applyBorder="1" applyAlignment="1">
      <alignment horizontal="center" wrapText="1"/>
    </xf>
    <xf numFmtId="0" fontId="0" fillId="0" borderId="72" xfId="0" applyBorder="1"/>
    <xf numFmtId="0" fontId="0" fillId="0" borderId="73" xfId="0" applyBorder="1"/>
    <xf numFmtId="0" fontId="9" fillId="12" borderId="0" xfId="0" applyFont="1" applyFill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75" xfId="0" applyFont="1" applyBorder="1" applyAlignment="1">
      <alignment horizontal="center" wrapText="1"/>
    </xf>
    <xf numFmtId="0" fontId="8" fillId="12" borderId="65" xfId="0" applyFont="1" applyFill="1" applyBorder="1" applyAlignment="1">
      <alignment horizontal="center" vertical="center"/>
    </xf>
    <xf numFmtId="164" fontId="0" fillId="12" borderId="64" xfId="0" applyNumberFormat="1" applyFill="1" applyBorder="1" applyAlignment="1">
      <alignment horizontal="center" wrapText="1"/>
    </xf>
    <xf numFmtId="164" fontId="48" fillId="12" borderId="0" xfId="0" applyNumberFormat="1" applyFont="1" applyFill="1" applyAlignment="1">
      <alignment horizontal="center"/>
    </xf>
    <xf numFmtId="164" fontId="48" fillId="12" borderId="64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0" fillId="15" borderId="0" xfId="0" applyFont="1" applyFill="1"/>
    <xf numFmtId="0" fontId="9" fillId="0" borderId="0" xfId="4" applyFont="1"/>
    <xf numFmtId="0" fontId="51" fillId="0" borderId="0" xfId="4" applyFont="1"/>
    <xf numFmtId="0" fontId="2" fillId="0" borderId="55" xfId="4" applyFont="1" applyBorder="1"/>
    <xf numFmtId="0" fontId="40" fillId="0" borderId="0" xfId="0" applyFont="1"/>
    <xf numFmtId="0" fontId="2" fillId="7" borderId="55" xfId="4" applyFont="1" applyFill="1" applyBorder="1"/>
    <xf numFmtId="0" fontId="2" fillId="0" borderId="0" xfId="6" applyFont="1" applyAlignment="1">
      <alignment horizontal="center"/>
    </xf>
    <xf numFmtId="0" fontId="2" fillId="0" borderId="0" xfId="4" applyFont="1"/>
    <xf numFmtId="43" fontId="2" fillId="0" borderId="0" xfId="8" applyFont="1"/>
    <xf numFmtId="0" fontId="2" fillId="0" borderId="56" xfId="6" applyFont="1" applyBorder="1" applyAlignment="1">
      <alignment horizontal="center"/>
    </xf>
    <xf numFmtId="0" fontId="40" fillId="0" borderId="0" xfId="4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5" fillId="20" borderId="17" xfId="0" applyFont="1" applyFill="1" applyBorder="1"/>
    <xf numFmtId="0" fontId="17" fillId="0" borderId="60" xfId="0" applyFont="1" applyBorder="1"/>
    <xf numFmtId="0" fontId="0" fillId="0" borderId="36" xfId="0" applyBorder="1"/>
    <xf numFmtId="0" fontId="0" fillId="2" borderId="19" xfId="0" applyFill="1" applyBorder="1" applyAlignment="1">
      <alignment horizontal="center"/>
    </xf>
    <xf numFmtId="0" fontId="17" fillId="0" borderId="86" xfId="0" applyFont="1" applyBorder="1"/>
    <xf numFmtId="0" fontId="45" fillId="20" borderId="12" xfId="0" applyFont="1" applyFill="1" applyBorder="1"/>
    <xf numFmtId="0" fontId="45" fillId="0" borderId="0" xfId="0" applyFont="1"/>
    <xf numFmtId="0" fontId="55" fillId="0" borderId="0" xfId="0" applyFont="1"/>
    <xf numFmtId="0" fontId="0" fillId="2" borderId="87" xfId="0" applyFill="1" applyBorder="1" applyAlignment="1">
      <alignment horizontal="center"/>
    </xf>
    <xf numFmtId="0" fontId="0" fillId="0" borderId="88" xfId="0" applyBorder="1"/>
    <xf numFmtId="0" fontId="0" fillId="0" borderId="89" xfId="0" applyBorder="1"/>
    <xf numFmtId="0" fontId="45" fillId="0" borderId="16" xfId="0" applyFont="1" applyBorder="1"/>
    <xf numFmtId="0" fontId="3" fillId="11" borderId="0" xfId="4" applyFill="1"/>
    <xf numFmtId="0" fontId="56" fillId="0" borderId="0" xfId="4" applyFont="1"/>
    <xf numFmtId="0" fontId="57" fillId="0" borderId="47" xfId="0" applyFont="1" applyBorder="1"/>
    <xf numFmtId="0" fontId="59" fillId="0" borderId="0" xfId="0" applyFont="1"/>
    <xf numFmtId="0" fontId="60" fillId="0" borderId="0" xfId="0" applyFont="1"/>
    <xf numFmtId="0" fontId="0" fillId="0" borderId="60" xfId="0" applyBorder="1" applyAlignment="1">
      <alignment horizontal="center" wrapText="1"/>
    </xf>
    <xf numFmtId="164" fontId="0" fillId="0" borderId="60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8" fillId="0" borderId="54" xfId="0" applyFont="1" applyBorder="1"/>
    <xf numFmtId="164" fontId="48" fillId="0" borderId="63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8" fillId="0" borderId="36" xfId="0" applyFont="1" applyBorder="1"/>
    <xf numFmtId="164" fontId="48" fillId="0" borderId="60" xfId="0" applyNumberFormat="1" applyFont="1" applyBorder="1" applyAlignment="1">
      <alignment horizontal="center"/>
    </xf>
    <xf numFmtId="0" fontId="47" fillId="0" borderId="36" xfId="0" applyFont="1" applyBorder="1" applyAlignment="1">
      <alignment horizontal="right"/>
    </xf>
    <xf numFmtId="0" fontId="46" fillId="0" borderId="36" xfId="0" applyFont="1" applyBorder="1" applyAlignment="1">
      <alignment horizontal="right"/>
    </xf>
    <xf numFmtId="164" fontId="61" fillId="12" borderId="44" xfId="0" applyNumberFormat="1" applyFont="1" applyFill="1" applyBorder="1" applyAlignment="1">
      <alignment horizontal="center"/>
    </xf>
    <xf numFmtId="164" fontId="61" fillId="12" borderId="39" xfId="0" applyNumberFormat="1" applyFont="1" applyFill="1" applyBorder="1" applyAlignment="1">
      <alignment horizontal="center"/>
    </xf>
    <xf numFmtId="164" fontId="61" fillId="12" borderId="38" xfId="0" applyNumberFormat="1" applyFont="1" applyFill="1" applyBorder="1" applyAlignment="1">
      <alignment horizontal="center"/>
    </xf>
    <xf numFmtId="164" fontId="61" fillId="12" borderId="27" xfId="0" applyNumberFormat="1" applyFont="1" applyFill="1" applyBorder="1" applyAlignment="1">
      <alignment horizontal="center"/>
    </xf>
    <xf numFmtId="164" fontId="61" fillId="12" borderId="66" xfId="0" applyNumberFormat="1" applyFont="1" applyFill="1" applyBorder="1" applyAlignment="1">
      <alignment horizontal="center"/>
    </xf>
    <xf numFmtId="164" fontId="41" fillId="12" borderId="67" xfId="0" applyNumberFormat="1" applyFont="1" applyFill="1" applyBorder="1" applyAlignment="1">
      <alignment horizontal="center" wrapText="1"/>
    </xf>
    <xf numFmtId="164" fontId="54" fillId="12" borderId="68" xfId="0" applyNumberFormat="1" applyFont="1" applyFill="1" applyBorder="1" applyAlignment="1">
      <alignment horizontal="center" wrapText="1"/>
    </xf>
    <xf numFmtId="1" fontId="42" fillId="12" borderId="30" xfId="0" applyNumberFormat="1" applyFont="1" applyFill="1" applyBorder="1" applyAlignment="1">
      <alignment horizontal="center" wrapText="1"/>
    </xf>
    <xf numFmtId="9" fontId="62" fillId="12" borderId="30" xfId="1" applyFont="1" applyFill="1" applyBorder="1" applyAlignment="1">
      <alignment horizontal="center" wrapText="1"/>
    </xf>
    <xf numFmtId="164" fontId="61" fillId="12" borderId="51" xfId="0" applyNumberFormat="1" applyFont="1" applyFill="1" applyBorder="1" applyAlignment="1">
      <alignment horizontal="center"/>
    </xf>
    <xf numFmtId="164" fontId="61" fillId="12" borderId="68" xfId="0" applyNumberFormat="1" applyFont="1" applyFill="1" applyBorder="1" applyAlignment="1">
      <alignment horizontal="center"/>
    </xf>
    <xf numFmtId="164" fontId="61" fillId="12" borderId="70" xfId="0" applyNumberFormat="1" applyFont="1" applyFill="1" applyBorder="1" applyAlignment="1">
      <alignment horizontal="center"/>
    </xf>
    <xf numFmtId="164" fontId="61" fillId="12" borderId="25" xfId="0" applyNumberFormat="1" applyFont="1" applyFill="1" applyBorder="1" applyAlignment="1">
      <alignment horizontal="center"/>
    </xf>
    <xf numFmtId="164" fontId="61" fillId="12" borderId="40" xfId="0" applyNumberFormat="1" applyFont="1" applyFill="1" applyBorder="1" applyAlignment="1">
      <alignment horizontal="center"/>
    </xf>
    <xf numFmtId="164" fontId="61" fillId="12" borderId="67" xfId="0" applyNumberFormat="1" applyFont="1" applyFill="1" applyBorder="1" applyAlignment="1">
      <alignment horizontal="center"/>
    </xf>
    <xf numFmtId="164" fontId="61" fillId="12" borderId="52" xfId="0" applyNumberFormat="1" applyFont="1" applyFill="1" applyBorder="1" applyAlignment="1">
      <alignment horizontal="center"/>
    </xf>
    <xf numFmtId="0" fontId="6" fillId="0" borderId="85" xfId="0" applyFont="1" applyBorder="1" applyAlignment="1">
      <alignment horizontal="center" wrapText="1"/>
    </xf>
    <xf numFmtId="0" fontId="6" fillId="12" borderId="92" xfId="0" applyFont="1" applyFill="1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164" fontId="0" fillId="0" borderId="84" xfId="0" applyNumberFormat="1" applyBorder="1" applyAlignment="1">
      <alignment horizontal="center" wrapText="1"/>
    </xf>
    <xf numFmtId="0" fontId="6" fillId="0" borderId="96" xfId="0" applyFont="1" applyBorder="1" applyAlignment="1">
      <alignment horizontal="center" wrapText="1"/>
    </xf>
    <xf numFmtId="0" fontId="6" fillId="12" borderId="0" xfId="0" applyFont="1" applyFill="1" applyAlignment="1">
      <alignment horizontal="center" wrapText="1"/>
    </xf>
    <xf numFmtId="0" fontId="63" fillId="12" borderId="0" xfId="0" applyFont="1" applyFill="1" applyAlignment="1">
      <alignment wrapText="1"/>
    </xf>
    <xf numFmtId="0" fontId="0" fillId="5" borderId="12" xfId="0" applyFill="1" applyBorder="1" applyAlignment="1">
      <alignment wrapText="1"/>
    </xf>
    <xf numFmtId="0" fontId="64" fillId="22" borderId="60" xfId="0" applyFont="1" applyFill="1" applyBorder="1" applyAlignment="1">
      <alignment readingOrder="1"/>
    </xf>
    <xf numFmtId="0" fontId="64" fillId="22" borderId="98" xfId="0" applyFont="1" applyFill="1" applyBorder="1" applyAlignment="1">
      <alignment readingOrder="1"/>
    </xf>
    <xf numFmtId="0" fontId="0" fillId="5" borderId="17" xfId="0" applyFill="1" applyBorder="1" applyAlignment="1">
      <alignment wrapText="1"/>
    </xf>
    <xf numFmtId="2" fontId="0" fillId="0" borderId="0" xfId="0" applyNumberFormat="1" applyAlignment="1">
      <alignment horizontal="center"/>
    </xf>
    <xf numFmtId="0" fontId="8" fillId="0" borderId="15" xfId="0" applyFont="1" applyBorder="1"/>
    <xf numFmtId="0" fontId="16" fillId="0" borderId="0" xfId="0" applyFont="1" applyAlignment="1">
      <alignment horizontal="center"/>
    </xf>
    <xf numFmtId="0" fontId="0" fillId="23" borderId="0" xfId="0" applyFill="1"/>
    <xf numFmtId="1" fontId="17" fillId="6" borderId="31" xfId="0" applyNumberFormat="1" applyFont="1" applyFill="1" applyBorder="1" applyAlignment="1">
      <alignment horizontal="center"/>
    </xf>
    <xf numFmtId="164" fontId="17" fillId="4" borderId="31" xfId="0" applyNumberFormat="1" applyFont="1" applyFill="1" applyBorder="1" applyAlignment="1">
      <alignment horizontal="center"/>
    </xf>
    <xf numFmtId="0" fontId="16" fillId="24" borderId="43" xfId="0" applyFont="1" applyFill="1" applyBorder="1" applyAlignment="1">
      <alignment horizontal="center"/>
    </xf>
    <xf numFmtId="0" fontId="16" fillId="25" borderId="11" xfId="0" applyFont="1" applyFill="1" applyBorder="1" applyAlignment="1">
      <alignment horizontal="center"/>
    </xf>
    <xf numFmtId="0" fontId="0" fillId="25" borderId="15" xfId="0" applyFill="1" applyBorder="1" applyAlignment="1">
      <alignment horizontal="center"/>
    </xf>
    <xf numFmtId="0" fontId="0" fillId="0" borderId="99" xfId="0" applyBorder="1"/>
    <xf numFmtId="0" fontId="2" fillId="0" borderId="100" xfId="0" applyFont="1" applyBorder="1"/>
    <xf numFmtId="0" fontId="0" fillId="0" borderId="60" xfId="0" applyBorder="1"/>
    <xf numFmtId="0" fontId="0" fillId="0" borderId="100" xfId="0" applyBorder="1"/>
    <xf numFmtId="0" fontId="17" fillId="0" borderId="100" xfId="0" applyFont="1" applyBorder="1"/>
    <xf numFmtId="0" fontId="14" fillId="26" borderId="30" xfId="0" applyFont="1" applyFill="1" applyBorder="1" applyAlignment="1">
      <alignment horizontal="center"/>
    </xf>
    <xf numFmtId="0" fontId="14" fillId="26" borderId="30" xfId="0" applyFont="1" applyFill="1" applyBorder="1" applyAlignment="1">
      <alignment horizontal="center" wrapText="1"/>
    </xf>
    <xf numFmtId="0" fontId="65" fillId="17" borderId="60" xfId="0" applyFont="1" applyFill="1" applyBorder="1"/>
    <xf numFmtId="0" fontId="0" fillId="5" borderId="101" xfId="0" applyFill="1" applyBorder="1"/>
    <xf numFmtId="0" fontId="12" fillId="5" borderId="102" xfId="0" applyFont="1" applyFill="1" applyBorder="1"/>
    <xf numFmtId="0" fontId="66" fillId="0" borderId="0" xfId="0" applyFont="1"/>
    <xf numFmtId="0" fontId="45" fillId="27" borderId="14" xfId="0" applyFont="1" applyFill="1" applyBorder="1"/>
    <xf numFmtId="0" fontId="45" fillId="27" borderId="19" xfId="0" applyFont="1" applyFill="1" applyBorder="1"/>
    <xf numFmtId="0" fontId="45" fillId="28" borderId="19" xfId="0" applyFont="1" applyFill="1" applyBorder="1"/>
    <xf numFmtId="0" fontId="45" fillId="0" borderId="11" xfId="0" applyFont="1" applyBorder="1"/>
    <xf numFmtId="0" fontId="45" fillId="28" borderId="14" xfId="0" applyFont="1" applyFill="1" applyBorder="1"/>
    <xf numFmtId="0" fontId="45" fillId="20" borderId="28" xfId="0" applyFont="1" applyFill="1" applyBorder="1"/>
    <xf numFmtId="0" fontId="45" fillId="20" borderId="14" xfId="0" applyFont="1" applyFill="1" applyBorder="1"/>
    <xf numFmtId="0" fontId="57" fillId="27" borderId="14" xfId="0" applyFont="1" applyFill="1" applyBorder="1" applyAlignment="1">
      <alignment horizontal="center"/>
    </xf>
    <xf numFmtId="0" fontId="45" fillId="0" borderId="60" xfId="0" applyFont="1" applyBorder="1"/>
    <xf numFmtId="0" fontId="45" fillId="0" borderId="63" xfId="0" applyFont="1" applyBorder="1"/>
    <xf numFmtId="0" fontId="68" fillId="0" borderId="63" xfId="0" applyFont="1" applyBorder="1"/>
    <xf numFmtId="164" fontId="11" fillId="0" borderId="0" xfId="0" applyNumberFormat="1" applyFont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45" fillId="27" borderId="19" xfId="0" applyFont="1" applyFill="1" applyBorder="1" applyAlignment="1">
      <alignment horizontal="center"/>
    </xf>
    <xf numFmtId="0" fontId="45" fillId="0" borderId="14" xfId="0" applyFont="1" applyBorder="1"/>
    <xf numFmtId="0" fontId="45" fillId="0" borderId="28" xfId="0" applyFont="1" applyBorder="1"/>
    <xf numFmtId="0" fontId="55" fillId="2" borderId="16" xfId="0" applyFont="1" applyFill="1" applyBorder="1" applyAlignment="1">
      <alignment horizontal="center"/>
    </xf>
    <xf numFmtId="0" fontId="0" fillId="4" borderId="15" xfId="0" applyFill="1" applyBorder="1" applyAlignment="1">
      <alignment horizontal="center" wrapText="1"/>
    </xf>
    <xf numFmtId="0" fontId="0" fillId="4" borderId="107" xfId="0" applyFill="1" applyBorder="1" applyAlignment="1">
      <alignment horizontal="center"/>
    </xf>
    <xf numFmtId="0" fontId="0" fillId="4" borderId="108" xfId="0" applyFill="1" applyBorder="1" applyAlignment="1">
      <alignment horizontal="center"/>
    </xf>
    <xf numFmtId="0" fontId="0" fillId="4" borderId="109" xfId="0" applyFill="1" applyBorder="1" applyAlignment="1">
      <alignment horizontal="center"/>
    </xf>
    <xf numFmtId="0" fontId="0" fillId="4" borderId="110" xfId="0" applyFill="1" applyBorder="1" applyAlignment="1">
      <alignment horizontal="center"/>
    </xf>
    <xf numFmtId="0" fontId="7" fillId="2" borderId="111" xfId="0" applyFont="1" applyFill="1" applyBorder="1" applyAlignment="1">
      <alignment horizontal="center"/>
    </xf>
    <xf numFmtId="164" fontId="17" fillId="0" borderId="0" xfId="0" quotePrefix="1" applyNumberFormat="1" applyFont="1"/>
    <xf numFmtId="0" fontId="45" fillId="0" borderId="21" xfId="0" applyFont="1" applyBorder="1"/>
    <xf numFmtId="0" fontId="45" fillId="27" borderId="87" xfId="0" applyFont="1" applyFill="1" applyBorder="1"/>
    <xf numFmtId="0" fontId="45" fillId="28" borderId="87" xfId="0" applyFont="1" applyFill="1" applyBorder="1"/>
    <xf numFmtId="0" fontId="69" fillId="32" borderId="16" xfId="0" applyFont="1" applyFill="1" applyBorder="1" applyAlignment="1">
      <alignment wrapText="1"/>
    </xf>
    <xf numFmtId="0" fontId="72" fillId="6" borderId="16" xfId="0" applyFont="1" applyFill="1" applyBorder="1" applyAlignment="1">
      <alignment wrapText="1"/>
    </xf>
    <xf numFmtId="0" fontId="72" fillId="6" borderId="31" xfId="0" applyFont="1" applyFill="1" applyBorder="1" applyAlignment="1">
      <alignment wrapText="1"/>
    </xf>
    <xf numFmtId="0" fontId="73" fillId="6" borderId="16" xfId="10" applyFont="1" applyFill="1" applyBorder="1" applyAlignment="1">
      <alignment wrapText="1"/>
    </xf>
    <xf numFmtId="0" fontId="72" fillId="6" borderId="16" xfId="10" applyFont="1" applyFill="1" applyBorder="1" applyAlignment="1">
      <alignment wrapText="1"/>
    </xf>
    <xf numFmtId="0" fontId="72" fillId="6" borderId="16" xfId="0" applyFont="1" applyFill="1" applyBorder="1" applyAlignment="1">
      <alignment horizontal="left" wrapText="1"/>
    </xf>
    <xf numFmtId="0" fontId="72" fillId="6" borderId="31" xfId="10" applyFont="1" applyFill="1" applyBorder="1" applyAlignment="1">
      <alignment wrapText="1"/>
    </xf>
    <xf numFmtId="0" fontId="70" fillId="0" borderId="16" xfId="11" applyBorder="1"/>
    <xf numFmtId="0" fontId="70" fillId="0" borderId="60" xfId="11" applyBorder="1"/>
    <xf numFmtId="0" fontId="74" fillId="0" borderId="16" xfId="11" applyFont="1" applyBorder="1"/>
    <xf numFmtId="168" fontId="70" fillId="0" borderId="16" xfId="9" applyNumberFormat="1" applyFont="1" applyFill="1" applyBorder="1"/>
    <xf numFmtId="0" fontId="70" fillId="0" borderId="16" xfId="11" applyBorder="1" applyAlignment="1">
      <alignment horizontal="left"/>
    </xf>
    <xf numFmtId="43" fontId="70" fillId="0" borderId="16" xfId="9" applyFont="1" applyFill="1" applyBorder="1"/>
    <xf numFmtId="43" fontId="70" fillId="0" borderId="16" xfId="9" applyFont="1" applyBorder="1" applyAlignment="1"/>
    <xf numFmtId="43" fontId="74" fillId="0" borderId="15" xfId="9" applyFont="1" applyFill="1" applyBorder="1" applyAlignment="1">
      <alignment wrapText="1"/>
    </xf>
    <xf numFmtId="0" fontId="70" fillId="0" borderId="60" xfId="0" applyFont="1" applyBorder="1"/>
    <xf numFmtId="0" fontId="70" fillId="0" borderId="15" xfId="11" applyBorder="1" applyAlignment="1">
      <alignment horizontal="left"/>
    </xf>
    <xf numFmtId="0" fontId="70" fillId="8" borderId="16" xfId="11" applyFill="1" applyBorder="1"/>
    <xf numFmtId="0" fontId="70" fillId="0" borderId="60" xfId="0" applyFont="1" applyBorder="1" applyAlignment="1">
      <alignment wrapText="1"/>
    </xf>
    <xf numFmtId="43" fontId="74" fillId="8" borderId="15" xfId="9" applyFont="1" applyFill="1" applyBorder="1" applyAlignment="1">
      <alignment wrapText="1"/>
    </xf>
    <xf numFmtId="0" fontId="70" fillId="0" borderId="11" xfId="11" applyBorder="1" applyAlignment="1">
      <alignment wrapText="1"/>
    </xf>
    <xf numFmtId="0" fontId="70" fillId="0" borderId="16" xfId="0" applyFont="1" applyBorder="1" applyAlignment="1">
      <alignment wrapText="1"/>
    </xf>
    <xf numFmtId="0" fontId="70" fillId="0" borderId="16" xfId="11" applyBorder="1" applyAlignment="1">
      <alignment wrapText="1"/>
    </xf>
    <xf numFmtId="0" fontId="70" fillId="0" borderId="0" xfId="11" applyAlignment="1">
      <alignment wrapText="1"/>
    </xf>
    <xf numFmtId="0" fontId="70" fillId="0" borderId="84" xfId="0" applyFont="1" applyBorder="1"/>
    <xf numFmtId="0" fontId="74" fillId="0" borderId="31" xfId="11" applyFont="1" applyBorder="1"/>
    <xf numFmtId="0" fontId="74" fillId="0" borderId="60" xfId="11" applyFont="1" applyBorder="1"/>
    <xf numFmtId="0" fontId="70" fillId="0" borderId="63" xfId="0" applyFont="1" applyBorder="1"/>
    <xf numFmtId="43" fontId="70" fillId="0" borderId="31" xfId="9" applyFont="1" applyBorder="1" applyAlignment="1"/>
    <xf numFmtId="43" fontId="74" fillId="0" borderId="107" xfId="9" applyFont="1" applyFill="1" applyBorder="1" applyAlignment="1">
      <alignment wrapText="1"/>
    </xf>
    <xf numFmtId="0" fontId="74" fillId="0" borderId="11" xfId="11" applyFont="1" applyBorder="1"/>
    <xf numFmtId="43" fontId="70" fillId="0" borderId="16" xfId="9" applyFont="1" applyFill="1" applyBorder="1" applyAlignment="1"/>
    <xf numFmtId="43" fontId="70" fillId="0" borderId="15" xfId="9" applyFont="1" applyFill="1" applyBorder="1"/>
    <xf numFmtId="43" fontId="70" fillId="0" borderId="60" xfId="9" applyFont="1" applyBorder="1" applyAlignment="1"/>
    <xf numFmtId="43" fontId="74" fillId="0" borderId="60" xfId="9" applyFont="1" applyFill="1" applyBorder="1" applyAlignment="1">
      <alignment wrapText="1"/>
    </xf>
    <xf numFmtId="0" fontId="70" fillId="18" borderId="16" xfId="11" applyFill="1" applyBorder="1"/>
    <xf numFmtId="0" fontId="70" fillId="18" borderId="60" xfId="11" applyFill="1" applyBorder="1"/>
    <xf numFmtId="0" fontId="74" fillId="18" borderId="16" xfId="11" applyFont="1" applyFill="1" applyBorder="1"/>
    <xf numFmtId="168" fontId="70" fillId="18" borderId="16" xfId="9" applyNumberFormat="1" applyFont="1" applyFill="1" applyBorder="1"/>
    <xf numFmtId="0" fontId="70" fillId="18" borderId="16" xfId="11" applyFill="1" applyBorder="1" applyAlignment="1">
      <alignment horizontal="left"/>
    </xf>
    <xf numFmtId="0" fontId="70" fillId="18" borderId="16" xfId="11" applyFill="1" applyBorder="1" applyAlignment="1">
      <alignment wrapText="1"/>
    </xf>
    <xf numFmtId="43" fontId="70" fillId="18" borderId="16" xfId="9" applyFont="1" applyFill="1" applyBorder="1"/>
    <xf numFmtId="43" fontId="70" fillId="18" borderId="16" xfId="9" applyFont="1" applyFill="1" applyBorder="1" applyAlignment="1"/>
    <xf numFmtId="43" fontId="74" fillId="18" borderId="15" xfId="9" applyFont="1" applyFill="1" applyBorder="1" applyAlignment="1">
      <alignment wrapText="1"/>
    </xf>
    <xf numFmtId="0" fontId="70" fillId="18" borderId="60" xfId="0" applyFont="1" applyFill="1" applyBorder="1"/>
    <xf numFmtId="0" fontId="70" fillId="33" borderId="16" xfId="11" applyFill="1" applyBorder="1"/>
    <xf numFmtId="0" fontId="75" fillId="33" borderId="11" xfId="0" applyFont="1" applyFill="1" applyBorder="1"/>
    <xf numFmtId="0" fontId="74" fillId="33" borderId="16" xfId="11" applyFont="1" applyFill="1" applyBorder="1"/>
    <xf numFmtId="168" fontId="70" fillId="33" borderId="16" xfId="9" applyNumberFormat="1" applyFont="1" applyFill="1" applyBorder="1"/>
    <xf numFmtId="0" fontId="70" fillId="33" borderId="16" xfId="11" applyFill="1" applyBorder="1" applyAlignment="1">
      <alignment horizontal="left"/>
    </xf>
    <xf numFmtId="0" fontId="70" fillId="33" borderId="16" xfId="11" applyFill="1" applyBorder="1" applyAlignment="1">
      <alignment wrapText="1"/>
    </xf>
    <xf numFmtId="43" fontId="70" fillId="33" borderId="16" xfId="9" applyFont="1" applyFill="1" applyBorder="1"/>
    <xf numFmtId="43" fontId="70" fillId="33" borderId="11" xfId="9" applyFont="1" applyFill="1" applyBorder="1" applyAlignment="1"/>
    <xf numFmtId="43" fontId="74" fillId="33" borderId="9" xfId="9" applyFont="1" applyFill="1" applyBorder="1" applyAlignment="1">
      <alignment wrapText="1"/>
    </xf>
    <xf numFmtId="43" fontId="70" fillId="33" borderId="16" xfId="9" applyFont="1" applyFill="1" applyBorder="1" applyAlignment="1"/>
    <xf numFmtId="43" fontId="74" fillId="33" borderId="15" xfId="9" applyFont="1" applyFill="1" applyBorder="1" applyAlignment="1">
      <alignment wrapText="1"/>
    </xf>
    <xf numFmtId="43" fontId="50" fillId="15" borderId="0" xfId="0" applyNumberFormat="1" applyFont="1" applyFill="1"/>
    <xf numFmtId="0" fontId="70" fillId="34" borderId="60" xfId="11" applyFill="1" applyBorder="1"/>
    <xf numFmtId="0" fontId="74" fillId="34" borderId="16" xfId="11" applyFont="1" applyFill="1" applyBorder="1"/>
    <xf numFmtId="168" fontId="70" fillId="34" borderId="16" xfId="9" applyNumberFormat="1" applyFont="1" applyFill="1" applyBorder="1"/>
    <xf numFmtId="0" fontId="70" fillId="34" borderId="16" xfId="11" applyFill="1" applyBorder="1"/>
    <xf numFmtId="0" fontId="70" fillId="34" borderId="16" xfId="11" applyFill="1" applyBorder="1" applyAlignment="1">
      <alignment horizontal="left"/>
    </xf>
    <xf numFmtId="0" fontId="70" fillId="34" borderId="31" xfId="11" applyFill="1" applyBorder="1" applyAlignment="1">
      <alignment wrapText="1"/>
    </xf>
    <xf numFmtId="43" fontId="70" fillId="34" borderId="16" xfId="9" applyFont="1" applyFill="1" applyBorder="1"/>
    <xf numFmtId="43" fontId="70" fillId="34" borderId="16" xfId="9" applyFont="1" applyFill="1" applyBorder="1" applyAlignment="1"/>
    <xf numFmtId="43" fontId="74" fillId="34" borderId="15" xfId="9" applyFont="1" applyFill="1" applyBorder="1" applyAlignment="1">
      <alignment wrapText="1"/>
    </xf>
    <xf numFmtId="0" fontId="70" fillId="34" borderId="60" xfId="0" applyFont="1" applyFill="1" applyBorder="1"/>
    <xf numFmtId="0" fontId="70" fillId="34" borderId="15" xfId="11" applyFill="1" applyBorder="1" applyAlignment="1">
      <alignment horizontal="left"/>
    </xf>
    <xf numFmtId="0" fontId="70" fillId="34" borderId="84" xfId="11" applyFill="1" applyBorder="1" applyAlignment="1">
      <alignment wrapText="1"/>
    </xf>
    <xf numFmtId="0" fontId="76" fillId="6" borderId="16" xfId="0" applyFont="1" applyFill="1" applyBorder="1" applyAlignment="1">
      <alignment wrapText="1"/>
    </xf>
    <xf numFmtId="0" fontId="77" fillId="6" borderId="16" xfId="10" applyFont="1" applyFill="1" applyBorder="1" applyAlignment="1">
      <alignment wrapText="1"/>
    </xf>
    <xf numFmtId="0" fontId="76" fillId="6" borderId="16" xfId="10" applyFont="1" applyFill="1" applyBorder="1" applyAlignment="1">
      <alignment wrapText="1"/>
    </xf>
    <xf numFmtId="0" fontId="76" fillId="6" borderId="16" xfId="0" applyFont="1" applyFill="1" applyBorder="1" applyAlignment="1">
      <alignment horizontal="left" wrapText="1"/>
    </xf>
    <xf numFmtId="0" fontId="76" fillId="6" borderId="31" xfId="10" applyFont="1" applyFill="1" applyBorder="1" applyAlignment="1">
      <alignment wrapText="1"/>
    </xf>
    <xf numFmtId="0" fontId="78" fillId="0" borderId="16" xfId="11" applyFont="1" applyBorder="1"/>
    <xf numFmtId="0" fontId="79" fillId="0" borderId="16" xfId="11" applyFont="1" applyBorder="1"/>
    <xf numFmtId="43" fontId="78" fillId="0" borderId="16" xfId="11" applyNumberFormat="1" applyFont="1" applyBorder="1"/>
    <xf numFmtId="168" fontId="78" fillId="0" borderId="16" xfId="9" applyNumberFormat="1" applyFont="1" applyFill="1" applyBorder="1"/>
    <xf numFmtId="0" fontId="78" fillId="0" borderId="16" xfId="11" applyFont="1" applyBorder="1" applyAlignment="1">
      <alignment horizontal="left"/>
    </xf>
    <xf numFmtId="43" fontId="78" fillId="0" borderId="15" xfId="9" applyFont="1" applyFill="1" applyBorder="1"/>
    <xf numFmtId="43" fontId="78" fillId="0" borderId="60" xfId="9" applyFont="1" applyFill="1" applyBorder="1"/>
    <xf numFmtId="43" fontId="79" fillId="0" borderId="19" xfId="9" applyFont="1" applyFill="1" applyBorder="1" applyAlignment="1">
      <alignment horizontal="right" wrapText="1"/>
    </xf>
    <xf numFmtId="0" fontId="79" fillId="0" borderId="15" xfId="11" applyFont="1" applyBorder="1" applyAlignment="1">
      <alignment wrapText="1"/>
    </xf>
    <xf numFmtId="0" fontId="78" fillId="0" borderId="60" xfId="0" applyFont="1" applyBorder="1"/>
    <xf numFmtId="0" fontId="78" fillId="35" borderId="16" xfId="11" applyFont="1" applyFill="1" applyBorder="1"/>
    <xf numFmtId="0" fontId="78" fillId="35" borderId="16" xfId="0" applyFont="1" applyFill="1" applyBorder="1"/>
    <xf numFmtId="0" fontId="78" fillId="35" borderId="15" xfId="0" applyFont="1" applyFill="1" applyBorder="1"/>
    <xf numFmtId="0" fontId="78" fillId="35" borderId="60" xfId="0" applyFont="1" applyFill="1" applyBorder="1"/>
    <xf numFmtId="0" fontId="78" fillId="35" borderId="19" xfId="0" applyFont="1" applyFill="1" applyBorder="1"/>
    <xf numFmtId="0" fontId="79" fillId="35" borderId="16" xfId="11" applyFont="1" applyFill="1" applyBorder="1"/>
    <xf numFmtId="43" fontId="78" fillId="35" borderId="16" xfId="11" applyNumberFormat="1" applyFont="1" applyFill="1" applyBorder="1"/>
    <xf numFmtId="168" fontId="78" fillId="35" borderId="16" xfId="9" applyNumberFormat="1" applyFont="1" applyFill="1" applyBorder="1"/>
    <xf numFmtId="0" fontId="78" fillId="35" borderId="16" xfId="11" applyFont="1" applyFill="1" applyBorder="1" applyAlignment="1">
      <alignment horizontal="left"/>
    </xf>
    <xf numFmtId="43" fontId="78" fillId="35" borderId="60" xfId="9" applyFont="1" applyFill="1" applyBorder="1"/>
    <xf numFmtId="43" fontId="79" fillId="35" borderId="0" xfId="9" applyFont="1" applyFill="1" applyBorder="1" applyAlignment="1">
      <alignment horizontal="right" wrapText="1"/>
    </xf>
    <xf numFmtId="0" fontId="79" fillId="35" borderId="15" xfId="11" applyFont="1" applyFill="1" applyBorder="1" applyAlignment="1">
      <alignment wrapText="1"/>
    </xf>
    <xf numFmtId="0" fontId="79" fillId="0" borderId="60" xfId="11" applyFont="1" applyBorder="1"/>
    <xf numFmtId="43" fontId="79" fillId="0" borderId="14" xfId="9" applyFont="1" applyFill="1" applyBorder="1" applyAlignment="1">
      <alignment horizontal="right" wrapText="1"/>
    </xf>
    <xf numFmtId="0" fontId="79" fillId="0" borderId="9" xfId="11" applyFont="1" applyBorder="1" applyAlignment="1">
      <alignment wrapText="1"/>
    </xf>
    <xf numFmtId="0" fontId="78" fillId="35" borderId="11" xfId="11" applyFont="1" applyFill="1" applyBorder="1"/>
    <xf numFmtId="168" fontId="78" fillId="35" borderId="11" xfId="9" applyNumberFormat="1" applyFont="1" applyFill="1" applyBorder="1"/>
    <xf numFmtId="0" fontId="78" fillId="35" borderId="11" xfId="11" applyFont="1" applyFill="1" applyBorder="1" applyAlignment="1">
      <alignment horizontal="left"/>
    </xf>
    <xf numFmtId="43" fontId="79" fillId="35" borderId="14" xfId="9" applyFont="1" applyFill="1" applyBorder="1" applyAlignment="1">
      <alignment horizontal="right" wrapText="1"/>
    </xf>
    <xf numFmtId="0" fontId="79" fillId="35" borderId="9" xfId="11" applyFont="1" applyFill="1" applyBorder="1" applyAlignment="1">
      <alignment wrapText="1"/>
    </xf>
    <xf numFmtId="0" fontId="78" fillId="35" borderId="11" xfId="0" applyFont="1" applyFill="1" applyBorder="1"/>
    <xf numFmtId="0" fontId="78" fillId="35" borderId="31" xfId="11" applyFont="1" applyFill="1" applyBorder="1"/>
    <xf numFmtId="0" fontId="79" fillId="35" borderId="31" xfId="11" applyFont="1" applyFill="1" applyBorder="1"/>
    <xf numFmtId="168" fontId="78" fillId="35" borderId="31" xfId="9" applyNumberFormat="1" applyFont="1" applyFill="1" applyBorder="1"/>
    <xf numFmtId="0" fontId="78" fillId="35" borderId="31" xfId="11" applyFont="1" applyFill="1" applyBorder="1" applyAlignment="1">
      <alignment horizontal="left"/>
    </xf>
    <xf numFmtId="43" fontId="78" fillId="35" borderId="31" xfId="9" applyFont="1" applyFill="1" applyBorder="1"/>
    <xf numFmtId="43" fontId="79" fillId="35" borderId="31" xfId="9" applyFont="1" applyFill="1" applyBorder="1" applyAlignment="1">
      <alignment horizontal="right" wrapText="1"/>
    </xf>
    <xf numFmtId="0" fontId="79" fillId="35" borderId="107" xfId="11" applyFont="1" applyFill="1" applyBorder="1" applyAlignment="1">
      <alignment wrapText="1"/>
    </xf>
    <xf numFmtId="0" fontId="78" fillId="35" borderId="60" xfId="11" applyFont="1" applyFill="1" applyBorder="1"/>
    <xf numFmtId="0" fontId="79" fillId="35" borderId="60" xfId="11" applyFont="1" applyFill="1" applyBorder="1"/>
    <xf numFmtId="168" fontId="78" fillId="35" borderId="60" xfId="9" applyNumberFormat="1" applyFont="1" applyFill="1" applyBorder="1"/>
    <xf numFmtId="0" fontId="78" fillId="35" borderId="60" xfId="11" applyFont="1" applyFill="1" applyBorder="1" applyAlignment="1">
      <alignment horizontal="left"/>
    </xf>
    <xf numFmtId="43" fontId="79" fillId="35" borderId="60" xfId="9" applyFont="1" applyFill="1" applyBorder="1" applyAlignment="1">
      <alignment horizontal="right" wrapText="1"/>
    </xf>
    <xf numFmtId="0" fontId="79" fillId="35" borderId="60" xfId="11" applyFont="1" applyFill="1" applyBorder="1" applyAlignment="1">
      <alignment wrapText="1"/>
    </xf>
    <xf numFmtId="0" fontId="78" fillId="34" borderId="16" xfId="11" applyFont="1" applyFill="1" applyBorder="1"/>
    <xf numFmtId="0" fontId="79" fillId="34" borderId="16" xfId="11" applyFont="1" applyFill="1" applyBorder="1"/>
    <xf numFmtId="168" fontId="78" fillId="34" borderId="16" xfId="9" applyNumberFormat="1" applyFont="1" applyFill="1" applyBorder="1"/>
    <xf numFmtId="0" fontId="78" fillId="34" borderId="16" xfId="11" applyFont="1" applyFill="1" applyBorder="1" applyAlignment="1">
      <alignment horizontal="left"/>
    </xf>
    <xf numFmtId="43" fontId="78" fillId="34" borderId="60" xfId="9" applyFont="1" applyFill="1" applyBorder="1"/>
    <xf numFmtId="43" fontId="79" fillId="34" borderId="19" xfId="9" applyFont="1" applyFill="1" applyBorder="1" applyAlignment="1">
      <alignment horizontal="right" wrapText="1"/>
    </xf>
    <xf numFmtId="0" fontId="79" fillId="34" borderId="15" xfId="11" applyFont="1" applyFill="1" applyBorder="1" applyAlignment="1">
      <alignment wrapText="1"/>
    </xf>
    <xf numFmtId="0" fontId="78" fillId="34" borderId="60" xfId="0" applyFont="1" applyFill="1" applyBorder="1"/>
    <xf numFmtId="0" fontId="79" fillId="34" borderId="60" xfId="11" applyFont="1" applyFill="1" applyBorder="1"/>
    <xf numFmtId="0" fontId="78" fillId="34" borderId="19" xfId="0" applyFont="1" applyFill="1" applyBorder="1" applyAlignment="1">
      <alignment horizontal="right"/>
    </xf>
    <xf numFmtId="0" fontId="79" fillId="34" borderId="15" xfId="11" applyFont="1" applyFill="1" applyBorder="1"/>
    <xf numFmtId="0" fontId="78" fillId="34" borderId="16" xfId="11" applyFont="1" applyFill="1" applyBorder="1" applyAlignment="1">
      <alignment horizontal="left" wrapText="1"/>
    </xf>
    <xf numFmtId="43" fontId="79" fillId="34" borderId="14" xfId="9" applyFont="1" applyFill="1" applyBorder="1" applyAlignment="1">
      <alignment horizontal="right" wrapText="1"/>
    </xf>
    <xf numFmtId="0" fontId="79" fillId="34" borderId="9" xfId="11" applyFont="1" applyFill="1" applyBorder="1" applyAlignment="1">
      <alignment wrapText="1"/>
    </xf>
    <xf numFmtId="0" fontId="78" fillId="34" borderId="60" xfId="11" applyFont="1" applyFill="1" applyBorder="1"/>
    <xf numFmtId="168" fontId="78" fillId="34" borderId="60" xfId="9" applyNumberFormat="1" applyFont="1" applyFill="1" applyBorder="1"/>
    <xf numFmtId="0" fontId="78" fillId="34" borderId="60" xfId="11" applyFont="1" applyFill="1" applyBorder="1" applyAlignment="1">
      <alignment horizontal="left"/>
    </xf>
    <xf numFmtId="43" fontId="79" fillId="34" borderId="60" xfId="9" applyFont="1" applyFill="1" applyBorder="1" applyAlignment="1">
      <alignment horizontal="right" wrapText="1"/>
    </xf>
    <xf numFmtId="0" fontId="79" fillId="34" borderId="60" xfId="11" applyFont="1" applyFill="1" applyBorder="1" applyAlignment="1">
      <alignment wrapText="1"/>
    </xf>
    <xf numFmtId="0" fontId="76" fillId="6" borderId="16" xfId="10" applyFont="1" applyFill="1" applyBorder="1" applyAlignment="1">
      <alignment horizontal="left" wrapText="1"/>
    </xf>
    <xf numFmtId="49" fontId="78" fillId="0" borderId="16" xfId="0" applyNumberFormat="1" applyFont="1" applyBorder="1"/>
    <xf numFmtId="0" fontId="78" fillId="0" borderId="16" xfId="11" applyFont="1" applyBorder="1" applyAlignment="1">
      <alignment wrapText="1"/>
    </xf>
    <xf numFmtId="43" fontId="78" fillId="0" borderId="16" xfId="9" applyFont="1" applyBorder="1"/>
    <xf numFmtId="43" fontId="78" fillId="0" borderId="16" xfId="9" applyFont="1" applyFill="1" applyBorder="1"/>
    <xf numFmtId="43" fontId="79" fillId="0" borderId="15" xfId="9" applyFont="1" applyFill="1" applyBorder="1" applyAlignment="1">
      <alignment wrapText="1"/>
    </xf>
    <xf numFmtId="0" fontId="78" fillId="0" borderId="11" xfId="11" applyFont="1" applyBorder="1" applyAlignment="1">
      <alignment wrapText="1"/>
    </xf>
    <xf numFmtId="0" fontId="78" fillId="0" borderId="16" xfId="10" applyFont="1" applyBorder="1" applyAlignment="1">
      <alignment horizontal="left" wrapText="1"/>
    </xf>
    <xf numFmtId="0" fontId="78" fillId="0" borderId="16" xfId="10" applyFont="1" applyBorder="1" applyAlignment="1">
      <alignment wrapText="1"/>
    </xf>
    <xf numFmtId="0" fontId="78" fillId="0" borderId="11" xfId="11" applyFont="1" applyBorder="1"/>
    <xf numFmtId="49" fontId="78" fillId="21" borderId="16" xfId="0" applyNumberFormat="1" applyFont="1" applyFill="1" applyBorder="1"/>
    <xf numFmtId="0" fontId="78" fillId="21" borderId="16" xfId="11" applyFont="1" applyFill="1" applyBorder="1"/>
    <xf numFmtId="0" fontId="78" fillId="21" borderId="16" xfId="10" applyFont="1" applyFill="1" applyBorder="1" applyAlignment="1">
      <alignment horizontal="left" wrapText="1"/>
    </xf>
    <xf numFmtId="0" fontId="78" fillId="21" borderId="16" xfId="11" applyFont="1" applyFill="1" applyBorder="1" applyAlignment="1">
      <alignment wrapText="1"/>
    </xf>
    <xf numFmtId="43" fontId="78" fillId="21" borderId="16" xfId="9" applyFont="1" applyFill="1" applyBorder="1"/>
    <xf numFmtId="43" fontId="79" fillId="21" borderId="15" xfId="9" applyFont="1" applyFill="1" applyBorder="1" applyAlignment="1">
      <alignment wrapText="1"/>
    </xf>
    <xf numFmtId="0" fontId="78" fillId="21" borderId="11" xfId="11" applyFont="1" applyFill="1" applyBorder="1" applyAlignment="1">
      <alignment wrapText="1"/>
    </xf>
    <xf numFmtId="0" fontId="78" fillId="21" borderId="16" xfId="11" applyFont="1" applyFill="1" applyBorder="1" applyAlignment="1">
      <alignment vertical="center" wrapText="1"/>
    </xf>
    <xf numFmtId="0" fontId="78" fillId="21" borderId="16" xfId="10" applyFont="1" applyFill="1" applyBorder="1" applyAlignment="1">
      <alignment wrapText="1"/>
    </xf>
    <xf numFmtId="0" fontId="78" fillId="21" borderId="11" xfId="11" applyFont="1" applyFill="1" applyBorder="1"/>
    <xf numFmtId="43" fontId="78" fillId="21" borderId="11" xfId="9" applyFont="1" applyFill="1" applyBorder="1"/>
    <xf numFmtId="43" fontId="79" fillId="21" borderId="9" xfId="9" applyFont="1" applyFill="1" applyBorder="1" applyAlignment="1">
      <alignment wrapText="1"/>
    </xf>
    <xf numFmtId="49" fontId="78" fillId="24" borderId="16" xfId="0" applyNumberFormat="1" applyFont="1" applyFill="1" applyBorder="1"/>
    <xf numFmtId="0" fontId="78" fillId="24" borderId="16" xfId="10" applyFont="1" applyFill="1" applyBorder="1" applyAlignment="1">
      <alignment wrapText="1"/>
    </xf>
    <xf numFmtId="0" fontId="78" fillId="24" borderId="16" xfId="11" applyFont="1" applyFill="1" applyBorder="1"/>
    <xf numFmtId="0" fontId="78" fillId="24" borderId="16" xfId="10" applyFont="1" applyFill="1" applyBorder="1" applyAlignment="1">
      <alignment horizontal="left" wrapText="1"/>
    </xf>
    <xf numFmtId="0" fontId="78" fillId="24" borderId="11" xfId="11" applyFont="1" applyFill="1" applyBorder="1" applyAlignment="1">
      <alignment wrapText="1"/>
    </xf>
    <xf numFmtId="43" fontId="78" fillId="24" borderId="16" xfId="9" applyFont="1" applyFill="1" applyBorder="1"/>
    <xf numFmtId="43" fontId="79" fillId="24" borderId="15" xfId="9" applyFont="1" applyFill="1" applyBorder="1" applyAlignment="1">
      <alignment wrapText="1"/>
    </xf>
    <xf numFmtId="0" fontId="78" fillId="24" borderId="16" xfId="11" applyFont="1" applyFill="1" applyBorder="1" applyAlignment="1">
      <alignment vertical="center" wrapText="1"/>
    </xf>
    <xf numFmtId="43" fontId="79" fillId="24" borderId="9" xfId="9" applyFont="1" applyFill="1" applyBorder="1" applyAlignment="1">
      <alignment wrapText="1"/>
    </xf>
    <xf numFmtId="49" fontId="78" fillId="29" borderId="16" xfId="0" applyNumberFormat="1" applyFont="1" applyFill="1" applyBorder="1"/>
    <xf numFmtId="0" fontId="78" fillId="29" borderId="16" xfId="11" applyFont="1" applyFill="1" applyBorder="1"/>
    <xf numFmtId="0" fontId="78" fillId="29" borderId="16" xfId="11" applyFont="1" applyFill="1" applyBorder="1" applyAlignment="1">
      <alignment horizontal="left"/>
    </xf>
    <xf numFmtId="0" fontId="78" fillId="29" borderId="16" xfId="11" applyFont="1" applyFill="1" applyBorder="1" applyAlignment="1">
      <alignment wrapText="1"/>
    </xf>
    <xf numFmtId="43" fontId="78" fillId="29" borderId="16" xfId="9" applyFont="1" applyFill="1" applyBorder="1"/>
    <xf numFmtId="43" fontId="79" fillId="29" borderId="15" xfId="9" applyFont="1" applyFill="1" applyBorder="1" applyAlignment="1">
      <alignment wrapText="1"/>
    </xf>
    <xf numFmtId="0" fontId="78" fillId="29" borderId="11" xfId="11" applyFont="1" applyFill="1" applyBorder="1" applyAlignment="1">
      <alignment wrapText="1"/>
    </xf>
    <xf numFmtId="0" fontId="78" fillId="29" borderId="16" xfId="10" applyFont="1" applyFill="1" applyBorder="1" applyAlignment="1">
      <alignment horizontal="left" wrapText="1"/>
    </xf>
    <xf numFmtId="0" fontId="78" fillId="29" borderId="16" xfId="10" applyFont="1" applyFill="1" applyBorder="1" applyAlignment="1">
      <alignment wrapText="1"/>
    </xf>
    <xf numFmtId="0" fontId="78" fillId="29" borderId="11" xfId="11" applyFont="1" applyFill="1" applyBorder="1"/>
    <xf numFmtId="43" fontId="78" fillId="29" borderId="11" xfId="9" applyFont="1" applyFill="1" applyBorder="1"/>
    <xf numFmtId="43" fontId="79" fillId="29" borderId="9" xfId="9" applyFont="1" applyFill="1" applyBorder="1" applyAlignment="1">
      <alignment wrapText="1"/>
    </xf>
    <xf numFmtId="0" fontId="78" fillId="0" borderId="16" xfId="0" applyFont="1" applyBorder="1"/>
    <xf numFmtId="0" fontId="0" fillId="0" borderId="15" xfId="0" applyBorder="1"/>
    <xf numFmtId="0" fontId="79" fillId="21" borderId="16" xfId="11" applyFont="1" applyFill="1" applyBorder="1"/>
    <xf numFmtId="168" fontId="78" fillId="21" borderId="16" xfId="9" applyNumberFormat="1" applyFont="1" applyFill="1" applyBorder="1"/>
    <xf numFmtId="0" fontId="78" fillId="21" borderId="16" xfId="11" applyFont="1" applyFill="1" applyBorder="1" applyAlignment="1">
      <alignment horizontal="left"/>
    </xf>
    <xf numFmtId="0" fontId="0" fillId="21" borderId="16" xfId="0" applyFill="1" applyBorder="1"/>
    <xf numFmtId="0" fontId="0" fillId="21" borderId="15" xfId="0" applyFill="1" applyBorder="1"/>
    <xf numFmtId="0" fontId="0" fillId="21" borderId="60" xfId="0" applyFill="1" applyBorder="1"/>
    <xf numFmtId="0" fontId="78" fillId="35" borderId="16" xfId="0" applyFont="1" applyFill="1" applyBorder="1" applyAlignment="1">
      <alignment horizontal="left" wrapText="1"/>
    </xf>
    <xf numFmtId="43" fontId="78" fillId="35" borderId="16" xfId="9" applyFont="1" applyFill="1" applyBorder="1"/>
    <xf numFmtId="0" fontId="0" fillId="35" borderId="15" xfId="0" applyFill="1" applyBorder="1"/>
    <xf numFmtId="0" fontId="0" fillId="35" borderId="60" xfId="0" applyFill="1" applyBorder="1"/>
    <xf numFmtId="0" fontId="50" fillId="37" borderId="0" xfId="0" applyFont="1" applyFill="1" applyAlignment="1">
      <alignment horizontal="center"/>
    </xf>
    <xf numFmtId="0" fontId="76" fillId="6" borderId="84" xfId="10" applyFont="1" applyFill="1" applyBorder="1" applyAlignment="1">
      <alignment wrapText="1"/>
    </xf>
    <xf numFmtId="43" fontId="79" fillId="0" borderId="15" xfId="9" applyFont="1" applyFill="1" applyBorder="1"/>
    <xf numFmtId="0" fontId="79" fillId="24" borderId="16" xfId="11" applyFont="1" applyFill="1" applyBorder="1"/>
    <xf numFmtId="168" fontId="78" fillId="24" borderId="16" xfId="9" applyNumberFormat="1" applyFont="1" applyFill="1" applyBorder="1"/>
    <xf numFmtId="0" fontId="79" fillId="24" borderId="16" xfId="11" applyFont="1" applyFill="1" applyBorder="1" applyAlignment="1">
      <alignment horizontal="left"/>
    </xf>
    <xf numFmtId="0" fontId="78" fillId="24" borderId="16" xfId="11" applyFont="1" applyFill="1" applyBorder="1" applyAlignment="1">
      <alignment wrapText="1"/>
    </xf>
    <xf numFmtId="43" fontId="79" fillId="24" borderId="15" xfId="9" applyFont="1" applyFill="1" applyBorder="1"/>
    <xf numFmtId="0" fontId="0" fillId="24" borderId="60" xfId="0" applyFill="1" applyBorder="1"/>
    <xf numFmtId="0" fontId="78" fillId="24" borderId="16" xfId="11" applyFont="1" applyFill="1" applyBorder="1" applyAlignment="1">
      <alignment horizontal="left"/>
    </xf>
    <xf numFmtId="0" fontId="0" fillId="24" borderId="15" xfId="0" applyFill="1" applyBorder="1"/>
    <xf numFmtId="0" fontId="79" fillId="29" borderId="16" xfId="11" applyFont="1" applyFill="1" applyBorder="1"/>
    <xf numFmtId="168" fontId="78" fillId="29" borderId="16" xfId="9" applyNumberFormat="1" applyFont="1" applyFill="1" applyBorder="1"/>
    <xf numFmtId="43" fontId="79" fillId="29" borderId="15" xfId="9" applyFont="1" applyFill="1" applyBorder="1" applyAlignment="1">
      <alignment vertical="center" wrapText="1"/>
    </xf>
    <xf numFmtId="0" fontId="0" fillId="29" borderId="60" xfId="0" applyFill="1" applyBorder="1"/>
    <xf numFmtId="0" fontId="78" fillId="29" borderId="16" xfId="0" applyFont="1" applyFill="1" applyBorder="1"/>
    <xf numFmtId="0" fontId="0" fillId="29" borderId="15" xfId="0" applyFill="1" applyBorder="1"/>
    <xf numFmtId="0" fontId="77" fillId="6" borderId="16" xfId="0" applyFont="1" applyFill="1" applyBorder="1" applyAlignment="1">
      <alignment wrapText="1"/>
    </xf>
    <xf numFmtId="0" fontId="78" fillId="0" borderId="16" xfId="11" applyFont="1" applyBorder="1" applyAlignment="1">
      <alignment horizontal="right"/>
    </xf>
    <xf numFmtId="0" fontId="78" fillId="0" borderId="16" xfId="0" applyFont="1" applyBorder="1" applyAlignment="1">
      <alignment horizontal="left" wrapText="1"/>
    </xf>
    <xf numFmtId="43" fontId="78" fillId="0" borderId="15" xfId="9" applyFont="1" applyBorder="1"/>
    <xf numFmtId="0" fontId="78" fillId="0" borderId="16" xfId="0" applyFont="1" applyBorder="1" applyAlignment="1">
      <alignment wrapText="1"/>
    </xf>
    <xf numFmtId="0" fontId="79" fillId="8" borderId="16" xfId="0" applyFont="1" applyFill="1" applyBorder="1"/>
    <xf numFmtId="0" fontId="79" fillId="8" borderId="16" xfId="11" applyFont="1" applyFill="1" applyBorder="1"/>
    <xf numFmtId="0" fontId="78" fillId="0" borderId="16" xfId="0" applyFont="1" applyBorder="1" applyAlignment="1">
      <alignment horizontal="right"/>
    </xf>
    <xf numFmtId="0" fontId="78" fillId="24" borderId="16" xfId="11" applyFont="1" applyFill="1" applyBorder="1" applyAlignment="1">
      <alignment horizontal="right"/>
    </xf>
    <xf numFmtId="0" fontId="78" fillId="24" borderId="16" xfId="0" applyFont="1" applyFill="1" applyBorder="1" applyAlignment="1">
      <alignment wrapText="1"/>
    </xf>
    <xf numFmtId="43" fontId="78" fillId="24" borderId="15" xfId="9" applyFont="1" applyFill="1" applyBorder="1"/>
    <xf numFmtId="0" fontId="78" fillId="24" borderId="60" xfId="0" applyFont="1" applyFill="1" applyBorder="1"/>
    <xf numFmtId="0" fontId="78" fillId="24" borderId="16" xfId="0" applyFont="1" applyFill="1" applyBorder="1" applyAlignment="1">
      <alignment horizontal="right"/>
    </xf>
    <xf numFmtId="0" fontId="78" fillId="24" borderId="16" xfId="0" applyFont="1" applyFill="1" applyBorder="1" applyAlignment="1">
      <alignment horizontal="left" wrapText="1"/>
    </xf>
    <xf numFmtId="0" fontId="78" fillId="29" borderId="16" xfId="11" applyFont="1" applyFill="1" applyBorder="1" applyAlignment="1">
      <alignment horizontal="right"/>
    </xf>
    <xf numFmtId="0" fontId="78" fillId="29" borderId="16" xfId="0" applyFont="1" applyFill="1" applyBorder="1" applyAlignment="1">
      <alignment horizontal="left" wrapText="1"/>
    </xf>
    <xf numFmtId="43" fontId="78" fillId="29" borderId="15" xfId="9" applyFont="1" applyFill="1" applyBorder="1"/>
    <xf numFmtId="0" fontId="78" fillId="29" borderId="60" xfId="0" applyFont="1" applyFill="1" applyBorder="1"/>
    <xf numFmtId="0" fontId="78" fillId="29" borderId="16" xfId="0" applyFont="1" applyFill="1" applyBorder="1" applyAlignment="1">
      <alignment wrapText="1"/>
    </xf>
    <xf numFmtId="0" fontId="79" fillId="29" borderId="16" xfId="0" applyFont="1" applyFill="1" applyBorder="1"/>
    <xf numFmtId="0" fontId="76" fillId="6" borderId="15" xfId="10" applyFont="1" applyFill="1" applyBorder="1" applyAlignment="1">
      <alignment wrapText="1"/>
    </xf>
    <xf numFmtId="0" fontId="76" fillId="6" borderId="60" xfId="10" applyFont="1" applyFill="1" applyBorder="1" applyAlignment="1">
      <alignment wrapText="1"/>
    </xf>
    <xf numFmtId="0" fontId="78" fillId="0" borderId="11" xfId="10" applyFont="1" applyBorder="1" applyAlignment="1">
      <alignment wrapText="1"/>
    </xf>
    <xf numFmtId="0" fontId="78" fillId="0" borderId="11" xfId="10" applyFont="1" applyBorder="1" applyAlignment="1">
      <alignment horizontal="left" wrapText="1"/>
    </xf>
    <xf numFmtId="43" fontId="80" fillId="21" borderId="16" xfId="9" applyFont="1" applyFill="1" applyBorder="1"/>
    <xf numFmtId="0" fontId="79" fillId="24" borderId="11" xfId="11" applyFont="1" applyFill="1" applyBorder="1"/>
    <xf numFmtId="0" fontId="50" fillId="15" borderId="0" xfId="0" applyFont="1" applyFill="1" applyAlignment="1">
      <alignment horizontal="center"/>
    </xf>
    <xf numFmtId="0" fontId="78" fillId="24" borderId="11" xfId="11" applyFont="1" applyFill="1" applyBorder="1"/>
    <xf numFmtId="43" fontId="79" fillId="29" borderId="15" xfId="9" applyFont="1" applyFill="1" applyBorder="1"/>
    <xf numFmtId="0" fontId="78" fillId="0" borderId="16" xfId="0" applyFont="1" applyBorder="1" applyAlignment="1">
      <alignment horizontal="left"/>
    </xf>
    <xf numFmtId="0" fontId="78" fillId="21" borderId="16" xfId="0" applyFont="1" applyFill="1" applyBorder="1"/>
    <xf numFmtId="0" fontId="78" fillId="21" borderId="16" xfId="0" applyFont="1" applyFill="1" applyBorder="1" applyAlignment="1">
      <alignment horizontal="left"/>
    </xf>
    <xf numFmtId="43" fontId="78" fillId="21" borderId="15" xfId="9" applyFont="1" applyFill="1" applyBorder="1"/>
    <xf numFmtId="0" fontId="78" fillId="21" borderId="60" xfId="0" applyFont="1" applyFill="1" applyBorder="1"/>
    <xf numFmtId="0" fontId="78" fillId="24" borderId="16" xfId="0" applyFont="1" applyFill="1" applyBorder="1"/>
    <xf numFmtId="0" fontId="78" fillId="24" borderId="16" xfId="0" applyFont="1" applyFill="1" applyBorder="1" applyAlignment="1">
      <alignment horizontal="left"/>
    </xf>
    <xf numFmtId="0" fontId="78" fillId="24" borderId="15" xfId="0" applyFont="1" applyFill="1" applyBorder="1"/>
    <xf numFmtId="0" fontId="0" fillId="29" borderId="0" xfId="0" applyFill="1"/>
    <xf numFmtId="0" fontId="78" fillId="29" borderId="16" xfId="0" applyFont="1" applyFill="1" applyBorder="1" applyAlignment="1">
      <alignment horizontal="left"/>
    </xf>
    <xf numFmtId="0" fontId="76" fillId="24" borderId="16" xfId="0" applyFont="1" applyFill="1" applyBorder="1" applyAlignment="1">
      <alignment wrapText="1"/>
    </xf>
    <xf numFmtId="0" fontId="77" fillId="24" borderId="16" xfId="10" applyFont="1" applyFill="1" applyBorder="1" applyAlignment="1">
      <alignment wrapText="1"/>
    </xf>
    <xf numFmtId="0" fontId="76" fillId="24" borderId="16" xfId="10" applyFont="1" applyFill="1" applyBorder="1" applyAlignment="1">
      <alignment wrapText="1"/>
    </xf>
    <xf numFmtId="0" fontId="76" fillId="24" borderId="16" xfId="0" applyFont="1" applyFill="1" applyBorder="1" applyAlignment="1">
      <alignment horizontal="left" wrapText="1"/>
    </xf>
    <xf numFmtId="0" fontId="79" fillId="0" borderId="16" xfId="11" applyFont="1" applyBorder="1" applyAlignment="1">
      <alignment horizontal="left"/>
    </xf>
    <xf numFmtId="0" fontId="79" fillId="0" borderId="11" xfId="11" applyFont="1" applyBorder="1"/>
    <xf numFmtId="0" fontId="79" fillId="0" borderId="11" xfId="11" applyFont="1" applyBorder="1" applyAlignment="1">
      <alignment wrapText="1"/>
    </xf>
    <xf numFmtId="49" fontId="79" fillId="0" borderId="16" xfId="0" applyNumberFormat="1" applyFont="1" applyBorder="1"/>
    <xf numFmtId="0" fontId="78" fillId="0" borderId="11" xfId="0" applyFont="1" applyBorder="1" applyAlignment="1">
      <alignment horizontal="left" wrapText="1"/>
    </xf>
    <xf numFmtId="0" fontId="79" fillId="29" borderId="16" xfId="11" applyFont="1" applyFill="1" applyBorder="1" applyAlignment="1">
      <alignment horizontal="left"/>
    </xf>
    <xf numFmtId="0" fontId="79" fillId="29" borderId="11" xfId="11" applyFont="1" applyFill="1" applyBorder="1"/>
    <xf numFmtId="0" fontId="76" fillId="24" borderId="60" xfId="10" applyFont="1" applyFill="1" applyBorder="1" applyAlignment="1">
      <alignment wrapText="1"/>
    </xf>
    <xf numFmtId="43" fontId="78" fillId="0" borderId="16" xfId="9" applyFont="1" applyBorder="1" applyAlignment="1"/>
    <xf numFmtId="43" fontId="78" fillId="0" borderId="15" xfId="9" applyFont="1" applyBorder="1" applyAlignment="1"/>
    <xf numFmtId="0" fontId="78" fillId="0" borderId="11" xfId="11" applyFont="1" applyBorder="1" applyAlignment="1">
      <alignment horizontal="left"/>
    </xf>
    <xf numFmtId="43" fontId="78" fillId="0" borderId="9" xfId="9" applyFont="1" applyFill="1" applyBorder="1" applyAlignment="1"/>
    <xf numFmtId="0" fontId="78" fillId="0" borderId="0" xfId="0" applyFont="1" applyAlignment="1">
      <alignment wrapText="1"/>
    </xf>
    <xf numFmtId="43" fontId="78" fillId="0" borderId="107" xfId="9" applyFont="1" applyBorder="1" applyAlignment="1"/>
    <xf numFmtId="0" fontId="78" fillId="0" borderId="43" xfId="11" applyFont="1" applyBorder="1"/>
    <xf numFmtId="0" fontId="79" fillId="0" borderId="31" xfId="11" applyFont="1" applyBorder="1"/>
    <xf numFmtId="168" fontId="78" fillId="0" borderId="31" xfId="9" applyNumberFormat="1" applyFont="1" applyFill="1" applyBorder="1"/>
    <xf numFmtId="0" fontId="78" fillId="0" borderId="31" xfId="11" applyFont="1" applyBorder="1"/>
    <xf numFmtId="0" fontId="78" fillId="0" borderId="31" xfId="11" applyFont="1" applyBorder="1" applyAlignment="1">
      <alignment horizontal="left"/>
    </xf>
    <xf numFmtId="0" fontId="78" fillId="0" borderId="31" xfId="0" applyFont="1" applyBorder="1" applyAlignment="1">
      <alignment horizontal="left" wrapText="1"/>
    </xf>
    <xf numFmtId="43" fontId="78" fillId="0" borderId="31" xfId="9" applyFont="1" applyFill="1" applyBorder="1"/>
    <xf numFmtId="43" fontId="78" fillId="0" borderId="31" xfId="9" applyFont="1" applyBorder="1" applyAlignment="1"/>
    <xf numFmtId="0" fontId="78" fillId="21" borderId="60" xfId="11" applyFont="1" applyFill="1" applyBorder="1"/>
    <xf numFmtId="0" fontId="79" fillId="21" borderId="60" xfId="11" applyFont="1" applyFill="1" applyBorder="1"/>
    <xf numFmtId="168" fontId="78" fillId="21" borderId="60" xfId="9" applyNumberFormat="1" applyFont="1" applyFill="1" applyBorder="1"/>
    <xf numFmtId="0" fontId="78" fillId="21" borderId="60" xfId="11" applyFont="1" applyFill="1" applyBorder="1" applyAlignment="1">
      <alignment horizontal="left"/>
    </xf>
    <xf numFmtId="0" fontId="78" fillId="21" borderId="60" xfId="0" applyFont="1" applyFill="1" applyBorder="1" applyAlignment="1">
      <alignment horizontal="left" wrapText="1"/>
    </xf>
    <xf numFmtId="43" fontId="78" fillId="21" borderId="60" xfId="9" applyFont="1" applyFill="1" applyBorder="1"/>
    <xf numFmtId="43" fontId="78" fillId="21" borderId="60" xfId="9" applyFont="1" applyFill="1" applyBorder="1" applyAlignment="1"/>
    <xf numFmtId="0" fontId="70" fillId="21" borderId="63" xfId="0" applyFont="1" applyFill="1" applyBorder="1"/>
    <xf numFmtId="0" fontId="70" fillId="21" borderId="60" xfId="0" applyFont="1" applyFill="1" applyBorder="1"/>
    <xf numFmtId="0" fontId="78" fillId="24" borderId="60" xfId="11" applyFont="1" applyFill="1" applyBorder="1"/>
    <xf numFmtId="0" fontId="79" fillId="24" borderId="60" xfId="11" applyFont="1" applyFill="1" applyBorder="1"/>
    <xf numFmtId="168" fontId="78" fillId="24" borderId="60" xfId="9" applyNumberFormat="1" applyFont="1" applyFill="1" applyBorder="1"/>
    <xf numFmtId="0" fontId="78" fillId="24" borderId="60" xfId="11" applyFont="1" applyFill="1" applyBorder="1" applyAlignment="1">
      <alignment horizontal="left"/>
    </xf>
    <xf numFmtId="0" fontId="78" fillId="24" borderId="60" xfId="0" applyFont="1" applyFill="1" applyBorder="1" applyAlignment="1">
      <alignment horizontal="left" wrapText="1"/>
    </xf>
    <xf numFmtId="43" fontId="78" fillId="24" borderId="60" xfId="9" applyFont="1" applyFill="1" applyBorder="1"/>
    <xf numFmtId="43" fontId="78" fillId="24" borderId="60" xfId="9" applyFont="1" applyFill="1" applyBorder="1" applyAlignment="1"/>
    <xf numFmtId="0" fontId="70" fillId="24" borderId="60" xfId="0" applyFont="1" applyFill="1" applyBorder="1"/>
    <xf numFmtId="0" fontId="69" fillId="32" borderId="60" xfId="0" applyFont="1" applyFill="1" applyBorder="1" applyAlignment="1">
      <alignment wrapText="1"/>
    </xf>
    <xf numFmtId="0" fontId="69" fillId="32" borderId="106" xfId="0" applyFont="1" applyFill="1" applyBorder="1" applyAlignment="1">
      <alignment wrapText="1"/>
    </xf>
    <xf numFmtId="0" fontId="69" fillId="32" borderId="106" xfId="0" applyFont="1" applyFill="1" applyBorder="1" applyAlignment="1">
      <alignment horizontal="left" wrapText="1"/>
    </xf>
    <xf numFmtId="0" fontId="71" fillId="0" borderId="112" xfId="0" applyFont="1" applyBorder="1" applyAlignment="1">
      <alignment wrapText="1"/>
    </xf>
    <xf numFmtId="43" fontId="71" fillId="0" borderId="112" xfId="0" applyNumberFormat="1" applyFont="1" applyBorder="1"/>
    <xf numFmtId="0" fontId="71" fillId="0" borderId="112" xfId="0" applyFont="1" applyBorder="1"/>
    <xf numFmtId="0" fontId="71" fillId="0" borderId="63" xfId="0" applyFont="1" applyBorder="1"/>
    <xf numFmtId="0" fontId="71" fillId="0" borderId="112" xfId="0" applyFont="1" applyBorder="1" applyAlignment="1">
      <alignment horizontal="left"/>
    </xf>
    <xf numFmtId="43" fontId="79" fillId="0" borderId="112" xfId="0" applyNumberFormat="1" applyFont="1" applyBorder="1" applyAlignment="1">
      <alignment wrapText="1"/>
    </xf>
    <xf numFmtId="0" fontId="75" fillId="32" borderId="63" xfId="0" applyFont="1" applyFill="1" applyBorder="1"/>
    <xf numFmtId="0" fontId="71" fillId="32" borderId="112" xfId="0" applyFont="1" applyFill="1" applyBorder="1"/>
    <xf numFmtId="43" fontId="79" fillId="32" borderId="112" xfId="0" applyNumberFormat="1" applyFont="1" applyFill="1" applyBorder="1"/>
    <xf numFmtId="0" fontId="71" fillId="32" borderId="112" xfId="0" applyFont="1" applyFill="1" applyBorder="1" applyAlignment="1">
      <alignment horizontal="left"/>
    </xf>
    <xf numFmtId="0" fontId="71" fillId="32" borderId="112" xfId="0" applyFont="1" applyFill="1" applyBorder="1" applyAlignment="1">
      <alignment wrapText="1"/>
    </xf>
    <xf numFmtId="43" fontId="71" fillId="32" borderId="112" xfId="0" applyNumberFormat="1" applyFont="1" applyFill="1" applyBorder="1"/>
    <xf numFmtId="0" fontId="79" fillId="32" borderId="63" xfId="0" applyFont="1" applyFill="1" applyBorder="1"/>
    <xf numFmtId="0" fontId="79" fillId="32" borderId="112" xfId="0" applyFont="1" applyFill="1" applyBorder="1"/>
    <xf numFmtId="0" fontId="79" fillId="32" borderId="112" xfId="0" applyFont="1" applyFill="1" applyBorder="1" applyAlignment="1">
      <alignment horizontal="left"/>
    </xf>
    <xf numFmtId="0" fontId="79" fillId="32" borderId="112" xfId="0" applyFont="1" applyFill="1" applyBorder="1" applyAlignment="1">
      <alignment wrapText="1"/>
    </xf>
    <xf numFmtId="0" fontId="79" fillId="29" borderId="63" xfId="0" applyFont="1" applyFill="1" applyBorder="1"/>
    <xf numFmtId="0" fontId="79" fillId="29" borderId="112" xfId="0" applyFont="1" applyFill="1" applyBorder="1"/>
    <xf numFmtId="43" fontId="79" fillId="29" borderId="112" xfId="0" applyNumberFormat="1" applyFont="1" applyFill="1" applyBorder="1"/>
    <xf numFmtId="0" fontId="79" fillId="29" borderId="112" xfId="0" applyFont="1" applyFill="1" applyBorder="1" applyAlignment="1">
      <alignment horizontal="left"/>
    </xf>
    <xf numFmtId="0" fontId="71" fillId="29" borderId="112" xfId="0" applyFont="1" applyFill="1" applyBorder="1" applyAlignment="1">
      <alignment wrapText="1"/>
    </xf>
    <xf numFmtId="43" fontId="71" fillId="29" borderId="112" xfId="0" applyNumberFormat="1" applyFont="1" applyFill="1" applyBorder="1"/>
    <xf numFmtId="0" fontId="71" fillId="29" borderId="112" xfId="0" applyFont="1" applyFill="1" applyBorder="1"/>
    <xf numFmtId="0" fontId="71" fillId="29" borderId="63" xfId="0" applyFont="1" applyFill="1" applyBorder="1"/>
    <xf numFmtId="0" fontId="71" fillId="29" borderId="112" xfId="0" applyFont="1" applyFill="1" applyBorder="1" applyAlignment="1">
      <alignment horizontal="left"/>
    </xf>
    <xf numFmtId="43" fontId="79" fillId="29" borderId="112" xfId="0" applyNumberFormat="1" applyFont="1" applyFill="1" applyBorder="1" applyAlignment="1">
      <alignment wrapText="1"/>
    </xf>
    <xf numFmtId="0" fontId="78" fillId="0" borderId="9" xfId="10" applyFont="1" applyBorder="1" applyAlignment="1">
      <alignment wrapText="1"/>
    </xf>
    <xf numFmtId="0" fontId="79" fillId="0" borderId="16" xfId="11" applyFont="1" applyBorder="1" applyAlignment="1">
      <alignment wrapText="1"/>
    </xf>
    <xf numFmtId="43" fontId="79" fillId="0" borderId="16" xfId="5" applyFont="1" applyFill="1" applyBorder="1" applyAlignment="1">
      <alignment wrapText="1"/>
    </xf>
    <xf numFmtId="0" fontId="78" fillId="0" borderId="15" xfId="0" applyFont="1" applyBorder="1" applyAlignment="1">
      <alignment horizontal="left" wrapText="1"/>
    </xf>
    <xf numFmtId="0" fontId="78" fillId="0" borderId="15" xfId="0" applyFont="1" applyBorder="1" applyAlignment="1">
      <alignment horizontal="left"/>
    </xf>
    <xf numFmtId="0" fontId="79" fillId="21" borderId="16" xfId="11" applyFont="1" applyFill="1" applyBorder="1" applyAlignment="1">
      <alignment wrapText="1"/>
    </xf>
    <xf numFmtId="43" fontId="79" fillId="21" borderId="16" xfId="5" applyFont="1" applyFill="1" applyBorder="1" applyAlignment="1">
      <alignment wrapText="1"/>
    </xf>
    <xf numFmtId="0" fontId="78" fillId="21" borderId="15" xfId="0" applyFont="1" applyFill="1" applyBorder="1" applyAlignment="1">
      <alignment horizontal="left"/>
    </xf>
    <xf numFmtId="0" fontId="80" fillId="21" borderId="16" xfId="0" applyFont="1" applyFill="1" applyBorder="1"/>
    <xf numFmtId="0" fontId="80" fillId="21" borderId="16" xfId="11" applyFont="1" applyFill="1" applyBorder="1" applyAlignment="1">
      <alignment wrapText="1"/>
    </xf>
    <xf numFmtId="168" fontId="80" fillId="21" borderId="16" xfId="9" applyNumberFormat="1" applyFont="1" applyFill="1" applyBorder="1"/>
    <xf numFmtId="0" fontId="80" fillId="21" borderId="16" xfId="0" applyFont="1" applyFill="1" applyBorder="1" applyAlignment="1">
      <alignment horizontal="left"/>
    </xf>
    <xf numFmtId="0" fontId="81" fillId="21" borderId="16" xfId="0" applyFont="1" applyFill="1" applyBorder="1" applyAlignment="1">
      <alignment horizontal="left" wrapText="1"/>
    </xf>
    <xf numFmtId="43" fontId="80" fillId="21" borderId="16" xfId="5" applyFont="1" applyFill="1" applyBorder="1" applyAlignment="1">
      <alignment wrapText="1"/>
    </xf>
    <xf numFmtId="0" fontId="80" fillId="21" borderId="15" xfId="0" applyFont="1" applyFill="1" applyBorder="1" applyAlignment="1">
      <alignment horizontal="left"/>
    </xf>
    <xf numFmtId="0" fontId="80" fillId="21" borderId="60" xfId="0" applyFont="1" applyFill="1" applyBorder="1"/>
    <xf numFmtId="0" fontId="79" fillId="24" borderId="16" xfId="11" applyFont="1" applyFill="1" applyBorder="1" applyAlignment="1">
      <alignment wrapText="1"/>
    </xf>
    <xf numFmtId="43" fontId="79" fillId="24" borderId="16" xfId="5" applyFont="1" applyFill="1" applyBorder="1" applyAlignment="1">
      <alignment wrapText="1"/>
    </xf>
    <xf numFmtId="0" fontId="78" fillId="24" borderId="15" xfId="0" applyFont="1" applyFill="1" applyBorder="1" applyAlignment="1">
      <alignment horizontal="left" wrapText="1"/>
    </xf>
    <xf numFmtId="0" fontId="78" fillId="24" borderId="15" xfId="0" applyFont="1" applyFill="1" applyBorder="1" applyAlignment="1">
      <alignment horizontal="left"/>
    </xf>
    <xf numFmtId="0" fontId="79" fillId="29" borderId="16" xfId="11" applyFont="1" applyFill="1" applyBorder="1" applyAlignment="1">
      <alignment wrapText="1"/>
    </xf>
    <xf numFmtId="43" fontId="79" fillId="29" borderId="16" xfId="5" applyFont="1" applyFill="1" applyBorder="1" applyAlignment="1">
      <alignment wrapText="1"/>
    </xf>
    <xf numFmtId="0" fontId="78" fillId="29" borderId="15" xfId="0" applyFont="1" applyFill="1" applyBorder="1" applyAlignment="1">
      <alignment horizontal="left" vertical="center" wrapText="1"/>
    </xf>
    <xf numFmtId="0" fontId="78" fillId="29" borderId="15" xfId="0" applyFont="1" applyFill="1" applyBorder="1" applyAlignment="1">
      <alignment horizontal="left" wrapText="1"/>
    </xf>
    <xf numFmtId="43" fontId="79" fillId="29" borderId="15" xfId="5" applyFont="1" applyFill="1" applyBorder="1" applyAlignment="1">
      <alignment wrapText="1"/>
    </xf>
    <xf numFmtId="0" fontId="78" fillId="29" borderId="11" xfId="0" applyFont="1" applyFill="1" applyBorder="1"/>
    <xf numFmtId="0" fontId="78" fillId="29" borderId="11" xfId="0" applyFont="1" applyFill="1" applyBorder="1" applyAlignment="1">
      <alignment horizontal="left" wrapText="1"/>
    </xf>
    <xf numFmtId="0" fontId="78" fillId="29" borderId="9" xfId="0" applyFont="1" applyFill="1" applyBorder="1" applyAlignment="1">
      <alignment horizontal="left"/>
    </xf>
    <xf numFmtId="164" fontId="61" fillId="19" borderId="40" xfId="0" applyNumberFormat="1" applyFont="1" applyFill="1" applyBorder="1" applyAlignment="1">
      <alignment horizontal="center"/>
    </xf>
    <xf numFmtId="164" fontId="61" fillId="19" borderId="39" xfId="0" applyNumberFormat="1" applyFont="1" applyFill="1" applyBorder="1" applyAlignment="1">
      <alignment horizontal="center"/>
    </xf>
    <xf numFmtId="164" fontId="61" fillId="19" borderId="68" xfId="0" applyNumberFormat="1" applyFont="1" applyFill="1" applyBorder="1" applyAlignment="1">
      <alignment horizontal="center"/>
    </xf>
    <xf numFmtId="164" fontId="61" fillId="19" borderId="70" xfId="0" applyNumberFormat="1" applyFont="1" applyFill="1" applyBorder="1" applyAlignment="1">
      <alignment horizontal="center"/>
    </xf>
    <xf numFmtId="0" fontId="82" fillId="20" borderId="17" xfId="0" applyFont="1" applyFill="1" applyBorder="1"/>
    <xf numFmtId="0" fontId="65" fillId="17" borderId="60" xfId="0" applyFont="1" applyFill="1" applyBorder="1" applyAlignment="1">
      <alignment wrapText="1"/>
    </xf>
    <xf numFmtId="0" fontId="58" fillId="0" borderId="13" xfId="0" applyFont="1" applyBorder="1"/>
    <xf numFmtId="0" fontId="83" fillId="28" borderId="13" xfId="0" applyFont="1" applyFill="1" applyBorder="1"/>
    <xf numFmtId="0" fontId="58" fillId="20" borderId="28" xfId="0" applyFont="1" applyFill="1" applyBorder="1"/>
    <xf numFmtId="0" fontId="57" fillId="0" borderId="39" xfId="0" applyFont="1" applyBorder="1"/>
    <xf numFmtId="0" fontId="58" fillId="27" borderId="113" xfId="0" applyFont="1" applyFill="1" applyBorder="1"/>
    <xf numFmtId="0" fontId="58" fillId="28" borderId="113" xfId="0" applyFont="1" applyFill="1" applyBorder="1"/>
    <xf numFmtId="0" fontId="84" fillId="20" borderId="26" xfId="0" applyFont="1" applyFill="1" applyBorder="1"/>
    <xf numFmtId="0" fontId="40" fillId="0" borderId="103" xfId="0" applyFont="1" applyBorder="1"/>
    <xf numFmtId="0" fontId="45" fillId="27" borderId="11" xfId="0" applyFont="1" applyFill="1" applyBorder="1"/>
    <xf numFmtId="0" fontId="45" fillId="28" borderId="13" xfId="0" applyFont="1" applyFill="1" applyBorder="1"/>
    <xf numFmtId="0" fontId="45" fillId="28" borderId="11" xfId="0" applyFont="1" applyFill="1" applyBorder="1"/>
    <xf numFmtId="0" fontId="45" fillId="20" borderId="9" xfId="0" applyFont="1" applyFill="1" applyBorder="1"/>
    <xf numFmtId="0" fontId="45" fillId="28" borderId="16" xfId="0" applyFont="1" applyFill="1" applyBorder="1"/>
    <xf numFmtId="0" fontId="40" fillId="0" borderId="104" xfId="0" applyFont="1" applyBorder="1"/>
    <xf numFmtId="0" fontId="45" fillId="28" borderId="9" xfId="0" applyFont="1" applyFill="1" applyBorder="1"/>
    <xf numFmtId="0" fontId="45" fillId="20" borderId="13" xfId="0" applyFont="1" applyFill="1" applyBorder="1"/>
    <xf numFmtId="0" fontId="58" fillId="27" borderId="111" xfId="0" applyFont="1" applyFill="1" applyBorder="1"/>
    <xf numFmtId="0" fontId="58" fillId="28" borderId="111" xfId="0" applyFont="1" applyFill="1" applyBorder="1"/>
    <xf numFmtId="0" fontId="84" fillId="20" borderId="3" xfId="0" applyFont="1" applyFill="1" applyBorder="1"/>
    <xf numFmtId="0" fontId="45" fillId="20" borderId="105" xfId="0" applyFont="1" applyFill="1" applyBorder="1"/>
    <xf numFmtId="0" fontId="45" fillId="0" borderId="43" xfId="0" applyFont="1" applyBorder="1"/>
    <xf numFmtId="0" fontId="45" fillId="27" borderId="83" xfId="0" applyFont="1" applyFill="1" applyBorder="1"/>
    <xf numFmtId="0" fontId="45" fillId="28" borderId="83" xfId="0" applyFont="1" applyFill="1" applyBorder="1"/>
    <xf numFmtId="0" fontId="58" fillId="27" borderId="39" xfId="0" applyFont="1" applyFill="1" applyBorder="1"/>
    <xf numFmtId="0" fontId="58" fillId="28" borderId="8" xfId="0" applyFont="1" applyFill="1" applyBorder="1"/>
    <xf numFmtId="0" fontId="84" fillId="20" borderId="45" xfId="0" applyFont="1" applyFill="1" applyBorder="1"/>
    <xf numFmtId="0" fontId="57" fillId="20" borderId="28" xfId="0" applyFont="1" applyFill="1" applyBorder="1"/>
    <xf numFmtId="0" fontId="49" fillId="0" borderId="55" xfId="4" applyFont="1" applyBorder="1"/>
    <xf numFmtId="0" fontId="55" fillId="4" borderId="15" xfId="0" applyFont="1" applyFill="1" applyBorder="1" applyAlignment="1">
      <alignment horizontal="center"/>
    </xf>
    <xf numFmtId="0" fontId="2" fillId="36" borderId="0" xfId="6" applyFont="1" applyFill="1" applyAlignment="1">
      <alignment horizontal="center"/>
    </xf>
    <xf numFmtId="0" fontId="2" fillId="36" borderId="0" xfId="4" applyFont="1" applyFill="1" applyAlignment="1">
      <alignment horizontal="center"/>
    </xf>
    <xf numFmtId="0" fontId="2" fillId="36" borderId="0" xfId="3" applyFont="1" applyFill="1" applyAlignment="1">
      <alignment horizontal="center"/>
    </xf>
    <xf numFmtId="0" fontId="3" fillId="36" borderId="0" xfId="4" applyFill="1"/>
    <xf numFmtId="43" fontId="2" fillId="36" borderId="0" xfId="5" applyFont="1" applyFill="1"/>
    <xf numFmtId="0" fontId="2" fillId="36" borderId="0" xfId="4" applyFont="1" applyFill="1"/>
    <xf numFmtId="0" fontId="3" fillId="36" borderId="0" xfId="4" applyFill="1" applyAlignment="1">
      <alignment horizontal="center"/>
    </xf>
    <xf numFmtId="0" fontId="36" fillId="36" borderId="0" xfId="7" applyFont="1" applyFill="1" applyAlignment="1">
      <alignment horizontal="center"/>
    </xf>
    <xf numFmtId="0" fontId="2" fillId="36" borderId="0" xfId="4" applyFont="1" applyFill="1" applyAlignment="1">
      <alignment horizontal="left"/>
    </xf>
    <xf numFmtId="164" fontId="50" fillId="15" borderId="64" xfId="0" applyNumberFormat="1" applyFont="1" applyFill="1" applyBorder="1" applyAlignment="1">
      <alignment horizontal="center" wrapText="1"/>
    </xf>
    <xf numFmtId="164" fontId="0" fillId="6" borderId="78" xfId="0" applyNumberFormat="1" applyFill="1" applyBorder="1" applyAlignment="1">
      <alignment horizontal="center" wrapText="1"/>
    </xf>
    <xf numFmtId="164" fontId="48" fillId="6" borderId="76" xfId="0" applyNumberFormat="1" applyFont="1" applyFill="1" applyBorder="1" applyAlignment="1">
      <alignment horizontal="center"/>
    </xf>
    <xf numFmtId="164" fontId="48" fillId="6" borderId="78" xfId="0" applyNumberFormat="1" applyFont="1" applyFill="1" applyBorder="1" applyAlignment="1">
      <alignment horizontal="center"/>
    </xf>
    <xf numFmtId="164" fontId="0" fillId="6" borderId="93" xfId="0" applyNumberFormat="1" applyFill="1" applyBorder="1" applyAlignment="1">
      <alignment horizontal="center" wrapText="1"/>
    </xf>
    <xf numFmtId="0" fontId="6" fillId="6" borderId="90" xfId="0" applyFont="1" applyFill="1" applyBorder="1" applyAlignment="1">
      <alignment horizontal="center" wrapText="1"/>
    </xf>
    <xf numFmtId="0" fontId="6" fillId="6" borderId="95" xfId="0" applyFont="1" applyFill="1" applyBorder="1" applyAlignment="1">
      <alignment horizontal="center" wrapText="1"/>
    </xf>
    <xf numFmtId="164" fontId="0" fillId="6" borderId="76" xfId="0" applyNumberFormat="1" applyFill="1" applyBorder="1" applyAlignment="1">
      <alignment horizontal="center" wrapText="1"/>
    </xf>
    <xf numFmtId="164" fontId="0" fillId="6" borderId="19" xfId="0" applyNumberForma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/>
    </xf>
    <xf numFmtId="164" fontId="6" fillId="6" borderId="80" xfId="0" applyNumberFormat="1" applyFont="1" applyFill="1" applyBorder="1" applyAlignment="1">
      <alignment horizontal="center"/>
    </xf>
    <xf numFmtId="164" fontId="0" fillId="6" borderId="17" xfId="0" applyNumberFormat="1" applyFill="1" applyBorder="1" applyAlignment="1">
      <alignment horizontal="center"/>
    </xf>
    <xf numFmtId="164" fontId="6" fillId="6" borderId="7" xfId="0" applyNumberFormat="1" applyFont="1" applyFill="1" applyBorder="1" applyAlignment="1">
      <alignment horizontal="center"/>
    </xf>
    <xf numFmtId="164" fontId="6" fillId="6" borderId="69" xfId="0" applyNumberFormat="1" applyFont="1" applyFill="1" applyBorder="1" applyAlignment="1">
      <alignment horizontal="center"/>
    </xf>
    <xf numFmtId="164" fontId="0" fillId="6" borderId="18" xfId="0" applyNumberFormat="1" applyFill="1" applyBorder="1" applyAlignment="1">
      <alignment horizontal="center"/>
    </xf>
    <xf numFmtId="164" fontId="0" fillId="6" borderId="16" xfId="0" applyNumberFormat="1" applyFill="1" applyBorder="1" applyAlignment="1">
      <alignment horizontal="center"/>
    </xf>
    <xf numFmtId="164" fontId="0" fillId="6" borderId="28" xfId="0" applyNumberForma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164" fontId="6" fillId="6" borderId="26" xfId="0" applyNumberFormat="1" applyFont="1" applyFill="1" applyBorder="1" applyAlignment="1">
      <alignment horizontal="center"/>
    </xf>
    <xf numFmtId="164" fontId="6" fillId="6" borderId="18" xfId="0" applyNumberFormat="1" applyFont="1" applyFill="1" applyBorder="1" applyAlignment="1">
      <alignment horizontal="center"/>
    </xf>
    <xf numFmtId="164" fontId="6" fillId="6" borderId="16" xfId="0" applyNumberFormat="1" applyFont="1" applyFill="1" applyBorder="1" applyAlignment="1">
      <alignment horizontal="center"/>
    </xf>
    <xf numFmtId="164" fontId="6" fillId="6" borderId="17" xfId="0" applyNumberFormat="1" applyFont="1" applyFill="1" applyBorder="1" applyAlignment="1">
      <alignment horizontal="center"/>
    </xf>
    <xf numFmtId="164" fontId="6" fillId="6" borderId="67" xfId="0" applyNumberFormat="1" applyFont="1" applyFill="1" applyBorder="1" applyAlignment="1">
      <alignment horizontal="center"/>
    </xf>
    <xf numFmtId="164" fontId="6" fillId="6" borderId="68" xfId="0" applyNumberFormat="1" applyFont="1" applyFill="1" applyBorder="1" applyAlignment="1">
      <alignment horizontal="center"/>
    </xf>
    <xf numFmtId="164" fontId="6" fillId="6" borderId="53" xfId="0" applyNumberFormat="1" applyFont="1" applyFill="1" applyBorder="1" applyAlignment="1">
      <alignment horizontal="center"/>
    </xf>
    <xf numFmtId="164" fontId="0" fillId="6" borderId="14" xfId="0" applyNumberFormat="1" applyFill="1" applyBorder="1" applyAlignment="1">
      <alignment horizontal="center"/>
    </xf>
    <xf numFmtId="164" fontId="0" fillId="6" borderId="11" xfId="0" applyNumberFormat="1" applyFill="1" applyBorder="1" applyAlignment="1">
      <alignment horizontal="center"/>
    </xf>
    <xf numFmtId="164" fontId="6" fillId="6" borderId="19" xfId="0" applyNumberFormat="1" applyFont="1" applyFill="1" applyBorder="1" applyAlignment="1">
      <alignment horizontal="center"/>
    </xf>
    <xf numFmtId="164" fontId="6" fillId="6" borderId="28" xfId="0" applyNumberFormat="1" applyFont="1" applyFill="1" applyBorder="1" applyAlignment="1">
      <alignment horizontal="center"/>
    </xf>
    <xf numFmtId="0" fontId="9" fillId="31" borderId="67" xfId="0" applyFont="1" applyFill="1" applyBorder="1" applyAlignment="1">
      <alignment horizontal="center" wrapText="1"/>
    </xf>
    <xf numFmtId="0" fontId="9" fillId="31" borderId="70" xfId="0" applyFont="1" applyFill="1" applyBorder="1" applyAlignment="1">
      <alignment horizontal="center" wrapText="1"/>
    </xf>
    <xf numFmtId="0" fontId="45" fillId="31" borderId="32" xfId="0" applyFont="1" applyFill="1" applyBorder="1" applyAlignment="1">
      <alignment horizontal="center" wrapText="1"/>
    </xf>
    <xf numFmtId="9" fontId="45" fillId="31" borderId="34" xfId="1" applyFont="1" applyFill="1" applyBorder="1" applyAlignment="1">
      <alignment horizontal="center" wrapText="1"/>
    </xf>
    <xf numFmtId="0" fontId="45" fillId="31" borderId="18" xfId="0" applyFont="1" applyFill="1" applyBorder="1" applyAlignment="1">
      <alignment horizontal="center" wrapText="1"/>
    </xf>
    <xf numFmtId="9" fontId="45" fillId="31" borderId="17" xfId="1" applyFont="1" applyFill="1" applyBorder="1" applyAlignment="1">
      <alignment horizontal="center" wrapText="1"/>
    </xf>
    <xf numFmtId="0" fontId="6" fillId="31" borderId="18" xfId="0" applyFont="1" applyFill="1" applyBorder="1" applyAlignment="1">
      <alignment horizontal="center" wrapText="1"/>
    </xf>
    <xf numFmtId="0" fontId="6" fillId="31" borderId="17" xfId="0" applyFont="1" applyFill="1" applyBorder="1" applyAlignment="1">
      <alignment horizontal="center" wrapText="1"/>
    </xf>
    <xf numFmtId="0" fontId="6" fillId="31" borderId="5" xfId="0" applyFont="1" applyFill="1" applyBorder="1" applyAlignment="1">
      <alignment horizontal="center" wrapText="1"/>
    </xf>
    <xf numFmtId="0" fontId="6" fillId="31" borderId="7" xfId="0" applyFont="1" applyFill="1" applyBorder="1" applyAlignment="1">
      <alignment horizontal="center" wrapText="1"/>
    </xf>
    <xf numFmtId="0" fontId="2" fillId="31" borderId="0" xfId="4" applyFont="1" applyFill="1"/>
    <xf numFmtId="0" fontId="3" fillId="31" borderId="0" xfId="4" applyFill="1"/>
    <xf numFmtId="0" fontId="0" fillId="31" borderId="0" xfId="0" applyFill="1"/>
    <xf numFmtId="0" fontId="45" fillId="31" borderId="63" xfId="0" applyFont="1" applyFill="1" applyBorder="1"/>
    <xf numFmtId="164" fontId="0" fillId="6" borderId="10" xfId="0" applyNumberFormat="1" applyFill="1" applyBorder="1" applyAlignment="1">
      <alignment horizontal="center" wrapText="1"/>
    </xf>
    <xf numFmtId="0" fontId="9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164" fontId="0" fillId="0" borderId="63" xfId="0" applyNumberFormat="1" applyBorder="1" applyAlignment="1">
      <alignment horizontal="center" wrapText="1"/>
    </xf>
    <xf numFmtId="0" fontId="9" fillId="0" borderId="80" xfId="0" applyFont="1" applyBorder="1" applyAlignment="1">
      <alignment horizontal="center" wrapText="1"/>
    </xf>
    <xf numFmtId="0" fontId="9" fillId="34" borderId="70" xfId="0" applyFont="1" applyFill="1" applyBorder="1" applyAlignment="1">
      <alignment horizontal="center" wrapText="1"/>
    </xf>
    <xf numFmtId="164" fontId="0" fillId="34" borderId="77" xfId="0" applyNumberFormat="1" applyFill="1" applyBorder="1" applyAlignment="1">
      <alignment horizontal="center" wrapText="1"/>
    </xf>
    <xf numFmtId="164" fontId="48" fillId="34" borderId="77" xfId="0" applyNumberFormat="1" applyFont="1" applyFill="1" applyBorder="1" applyAlignment="1">
      <alignment horizontal="center"/>
    </xf>
    <xf numFmtId="164" fontId="48" fillId="34" borderId="79" xfId="0" applyNumberFormat="1" applyFont="1" applyFill="1" applyBorder="1" applyAlignment="1">
      <alignment horizontal="center"/>
    </xf>
    <xf numFmtId="164" fontId="0" fillId="34" borderId="79" xfId="0" applyNumberFormat="1" applyFill="1" applyBorder="1" applyAlignment="1">
      <alignment horizontal="center" wrapText="1"/>
    </xf>
    <xf numFmtId="164" fontId="0" fillId="34" borderId="94" xfId="0" applyNumberFormat="1" applyFill="1" applyBorder="1" applyAlignment="1">
      <alignment horizontal="center" wrapText="1"/>
    </xf>
    <xf numFmtId="0" fontId="6" fillId="34" borderId="91" xfId="0" applyFont="1" applyFill="1" applyBorder="1" applyAlignment="1">
      <alignment horizontal="center" wrapText="1"/>
    </xf>
    <xf numFmtId="0" fontId="6" fillId="34" borderId="97" xfId="0" applyFont="1" applyFill="1" applyBorder="1" applyAlignment="1">
      <alignment horizontal="center" wrapText="1"/>
    </xf>
    <xf numFmtId="0" fontId="0" fillId="34" borderId="25" xfId="0" applyFill="1" applyBorder="1" applyAlignment="1">
      <alignment horizontal="center"/>
    </xf>
    <xf numFmtId="0" fontId="10" fillId="34" borderId="4" xfId="0" applyFont="1" applyFill="1" applyBorder="1" applyAlignment="1">
      <alignment horizontal="center"/>
    </xf>
    <xf numFmtId="164" fontId="0" fillId="34" borderId="17" xfId="0" applyNumberFormat="1" applyFill="1" applyBorder="1" applyAlignment="1">
      <alignment horizontal="center"/>
    </xf>
    <xf numFmtId="164" fontId="6" fillId="34" borderId="17" xfId="0" applyNumberFormat="1" applyFont="1" applyFill="1" applyBorder="1" applyAlignment="1">
      <alignment horizontal="center"/>
    </xf>
    <xf numFmtId="164" fontId="6" fillId="34" borderId="7" xfId="0" applyNumberFormat="1" applyFont="1" applyFill="1" applyBorder="1" applyAlignment="1">
      <alignment horizontal="center"/>
    </xf>
    <xf numFmtId="0" fontId="6" fillId="11" borderId="90" xfId="0" applyFont="1" applyFill="1" applyBorder="1" applyAlignment="1">
      <alignment horizontal="center" wrapText="1"/>
    </xf>
    <xf numFmtId="0" fontId="9" fillId="0" borderId="113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34" borderId="12" xfId="0" applyFont="1" applyFill="1" applyBorder="1" applyAlignment="1">
      <alignment horizontal="center" wrapText="1"/>
    </xf>
    <xf numFmtId="10" fontId="45" fillId="31" borderId="34" xfId="1" applyNumberFormat="1" applyFont="1" applyFill="1" applyBorder="1" applyAlignment="1">
      <alignment horizontal="center" wrapText="1"/>
    </xf>
    <xf numFmtId="0" fontId="2" fillId="29" borderId="55" xfId="4" applyFont="1" applyFill="1" applyBorder="1"/>
    <xf numFmtId="2" fontId="31" fillId="9" borderId="34" xfId="0" applyNumberFormat="1" applyFont="1" applyFill="1" applyBorder="1"/>
    <xf numFmtId="0" fontId="7" fillId="2" borderId="43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0" fillId="5" borderId="16" xfId="0" applyFill="1" applyBorder="1"/>
    <xf numFmtId="164" fontId="41" fillId="12" borderId="30" xfId="0" applyNumberFormat="1" applyFont="1" applyFill="1" applyBorder="1" applyAlignment="1">
      <alignment horizontal="center" wrapText="1"/>
    </xf>
    <xf numFmtId="164" fontId="24" fillId="0" borderId="0" xfId="0" applyNumberFormat="1" applyFont="1" applyAlignment="1">
      <alignment horizontal="center"/>
    </xf>
    <xf numFmtId="164" fontId="6" fillId="34" borderId="26" xfId="1" applyNumberFormat="1" applyFont="1" applyFill="1" applyBorder="1" applyAlignment="1">
      <alignment horizontal="center"/>
    </xf>
    <xf numFmtId="0" fontId="45" fillId="3" borderId="11" xfId="0" applyFont="1" applyFill="1" applyBorder="1" applyAlignment="1">
      <alignment horizontal="center" wrapText="1"/>
    </xf>
    <xf numFmtId="164" fontId="45" fillId="3" borderId="10" xfId="0" applyNumberFormat="1" applyFont="1" applyFill="1" applyBorder="1" applyAlignment="1">
      <alignment horizontal="center" wrapText="1"/>
    </xf>
    <xf numFmtId="0" fontId="45" fillId="3" borderId="63" xfId="0" applyFont="1" applyFill="1" applyBorder="1" applyAlignment="1">
      <alignment horizontal="center" wrapText="1"/>
    </xf>
    <xf numFmtId="164" fontId="45" fillId="3" borderId="18" xfId="0" applyNumberFormat="1" applyFont="1" applyFill="1" applyBorder="1" applyAlignment="1">
      <alignment horizontal="center" wrapText="1"/>
    </xf>
    <xf numFmtId="0" fontId="45" fillId="3" borderId="60" xfId="0" applyFont="1" applyFill="1" applyBorder="1" applyAlignment="1">
      <alignment horizontal="center" wrapText="1"/>
    </xf>
    <xf numFmtId="0" fontId="45" fillId="3" borderId="84" xfId="0" applyFont="1" applyFill="1" applyBorder="1" applyAlignment="1">
      <alignment horizontal="center" wrapText="1"/>
    </xf>
    <xf numFmtId="164" fontId="6" fillId="3" borderId="85" xfId="0" applyNumberFormat="1" applyFont="1" applyFill="1" applyBorder="1" applyAlignment="1">
      <alignment horizontal="center" wrapText="1"/>
    </xf>
    <xf numFmtId="164" fontId="6" fillId="3" borderId="18" xfId="0" applyNumberFormat="1" applyFont="1" applyFill="1" applyBorder="1" applyAlignment="1">
      <alignment horizontal="center" wrapText="1"/>
    </xf>
    <xf numFmtId="164" fontId="6" fillId="3" borderId="96" xfId="0" applyNumberFormat="1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 wrapText="1"/>
    </xf>
    <xf numFmtId="0" fontId="9" fillId="3" borderId="68" xfId="0" applyFont="1" applyFill="1" applyBorder="1" applyAlignment="1">
      <alignment horizontal="center" wrapText="1"/>
    </xf>
    <xf numFmtId="164" fontId="9" fillId="3" borderId="70" xfId="0" applyNumberFormat="1" applyFont="1" applyFill="1" applyBorder="1" applyAlignment="1">
      <alignment horizontal="center" wrapText="1"/>
    </xf>
    <xf numFmtId="0" fontId="2" fillId="38" borderId="55" xfId="4" applyFont="1" applyFill="1" applyBorder="1"/>
    <xf numFmtId="0" fontId="45" fillId="5" borderId="17" xfId="0" applyFont="1" applyFill="1" applyBorder="1"/>
    <xf numFmtId="0" fontId="55" fillId="5" borderId="17" xfId="0" applyFont="1" applyFill="1" applyBorder="1"/>
    <xf numFmtId="0" fontId="5" fillId="5" borderId="17" xfId="0" applyFont="1" applyFill="1" applyBorder="1"/>
    <xf numFmtId="0" fontId="45" fillId="17" borderId="60" xfId="0" applyFont="1" applyFill="1" applyBorder="1"/>
    <xf numFmtId="0" fontId="2" fillId="0" borderId="60" xfId="4" applyFont="1" applyBorder="1"/>
    <xf numFmtId="0" fontId="0" fillId="0" borderId="54" xfId="0" applyBorder="1"/>
    <xf numFmtId="0" fontId="0" fillId="2" borderId="14" xfId="0" applyFill="1" applyBorder="1" applyAlignment="1">
      <alignment horizontal="center"/>
    </xf>
    <xf numFmtId="0" fontId="27" fillId="0" borderId="43" xfId="0" applyFont="1" applyBorder="1"/>
    <xf numFmtId="0" fontId="0" fillId="0" borderId="11" xfId="0" applyBorder="1"/>
    <xf numFmtId="0" fontId="85" fillId="0" borderId="60" xfId="0" applyFont="1" applyBorder="1"/>
    <xf numFmtId="0" fontId="7" fillId="0" borderId="43" xfId="0" applyFont="1" applyBorder="1"/>
    <xf numFmtId="0" fontId="2" fillId="0" borderId="60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0" fillId="4" borderId="35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39" xfId="0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4" borderId="47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3" fillId="30" borderId="55" xfId="4" applyFill="1" applyBorder="1"/>
    <xf numFmtId="0" fontId="2" fillId="38" borderId="60" xfId="4" applyFont="1" applyFill="1" applyBorder="1"/>
    <xf numFmtId="0" fontId="86" fillId="0" borderId="0" xfId="0" applyFont="1"/>
    <xf numFmtId="0" fontId="53" fillId="0" borderId="0" xfId="0" applyFont="1"/>
    <xf numFmtId="0" fontId="87" fillId="0" borderId="0" xfId="0" applyFont="1"/>
    <xf numFmtId="0" fontId="88" fillId="0" borderId="0" xfId="0" applyFont="1"/>
    <xf numFmtId="2" fontId="87" fillId="0" borderId="0" xfId="0" applyNumberFormat="1" applyFont="1"/>
    <xf numFmtId="169" fontId="87" fillId="0" borderId="0" xfId="0" applyNumberFormat="1" applyFont="1"/>
    <xf numFmtId="0" fontId="0" fillId="39" borderId="39" xfId="0" applyFill="1" applyBorder="1" applyAlignment="1">
      <alignment horizontal="center"/>
    </xf>
    <xf numFmtId="0" fontId="2" fillId="31" borderId="55" xfId="4" applyFont="1" applyFill="1" applyBorder="1"/>
    <xf numFmtId="20" fontId="45" fillId="20" borderId="17" xfId="0" applyNumberFormat="1" applyFont="1" applyFill="1" applyBorder="1"/>
    <xf numFmtId="0" fontId="89" fillId="0" borderId="0" xfId="0" applyFont="1" applyAlignment="1">
      <alignment horizontal="center"/>
    </xf>
    <xf numFmtId="0" fontId="5" fillId="0" borderId="60" xfId="11" applyFont="1" applyBorder="1"/>
    <xf numFmtId="0" fontId="5" fillId="0" borderId="60" xfId="0" applyFont="1" applyBorder="1"/>
    <xf numFmtId="170" fontId="7" fillId="0" borderId="0" xfId="9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90" fillId="0" borderId="0" xfId="0" applyNumberFormat="1" applyFont="1" applyAlignment="1">
      <alignment horizontal="center"/>
    </xf>
    <xf numFmtId="164" fontId="91" fillId="0" borderId="0" xfId="0" applyNumberFormat="1" applyFont="1" applyAlignment="1">
      <alignment horizontal="center"/>
    </xf>
    <xf numFmtId="2" fontId="86" fillId="0" borderId="0" xfId="0" applyNumberFormat="1" applyFont="1"/>
    <xf numFmtId="169" fontId="91" fillId="0" borderId="0" xfId="12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114" xfId="0" applyBorder="1"/>
    <xf numFmtId="0" fontId="23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43" fontId="48" fillId="0" borderId="0" xfId="0" applyNumberFormat="1" applyFont="1" applyAlignment="1">
      <alignment horizontal="center"/>
    </xf>
    <xf numFmtId="0" fontId="92" fillId="0" borderId="0" xfId="0" applyFont="1" applyAlignment="1">
      <alignment horizontal="center"/>
    </xf>
    <xf numFmtId="0" fontId="8" fillId="0" borderId="4" xfId="0" applyFont="1" applyBorder="1" applyAlignment="1">
      <alignment horizontal="left"/>
    </xf>
    <xf numFmtId="2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43" fontId="7" fillId="0" borderId="4" xfId="0" applyNumberFormat="1" applyFont="1" applyBorder="1" applyAlignment="1">
      <alignment horizontal="center"/>
    </xf>
    <xf numFmtId="2" fontId="5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2" fontId="48" fillId="0" borderId="0" xfId="0" applyNumberFormat="1" applyFont="1" applyAlignment="1">
      <alignment horizontal="center"/>
    </xf>
    <xf numFmtId="164" fontId="48" fillId="40" borderId="0" xfId="0" applyNumberFormat="1" applyFont="1" applyFill="1" applyAlignment="1">
      <alignment horizontal="center"/>
    </xf>
    <xf numFmtId="44" fontId="48" fillId="0" borderId="0" xfId="9" applyNumberFormat="1" applyFont="1" applyAlignment="1">
      <alignment horizontal="center" vertical="center"/>
    </xf>
    <xf numFmtId="164" fontId="48" fillId="0" borderId="0" xfId="9" applyNumberFormat="1" applyFont="1" applyAlignment="1">
      <alignment horizontal="center"/>
    </xf>
    <xf numFmtId="44" fontId="48" fillId="0" borderId="0" xfId="0" applyNumberFormat="1" applyFont="1" applyAlignment="1">
      <alignment horizontal="center"/>
    </xf>
    <xf numFmtId="168" fontId="48" fillId="0" borderId="0" xfId="0" applyNumberFormat="1" applyFont="1" applyAlignment="1">
      <alignment horizontal="center"/>
    </xf>
    <xf numFmtId="164" fontId="48" fillId="41" borderId="0" xfId="0" applyNumberFormat="1" applyFont="1" applyFill="1" applyAlignment="1">
      <alignment horizontal="center"/>
    </xf>
    <xf numFmtId="44" fontId="0" fillId="0" borderId="0" xfId="0" applyNumberFormat="1" applyAlignment="1">
      <alignment horizontal="center"/>
    </xf>
    <xf numFmtId="0" fontId="12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16" borderId="0" xfId="0" applyFont="1" applyFill="1" applyAlignment="1">
      <alignment horizontal="center"/>
    </xf>
    <xf numFmtId="44" fontId="7" fillId="0" borderId="0" xfId="12" applyFont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12" applyFont="1" applyAlignment="1">
      <alignment horizontal="center"/>
    </xf>
    <xf numFmtId="0" fontId="10" fillId="0" borderId="0" xfId="0" applyFont="1" applyAlignment="1">
      <alignment horizontal="left"/>
    </xf>
    <xf numFmtId="44" fontId="0" fillId="0" borderId="0" xfId="12" applyFont="1" applyAlignment="1">
      <alignment horizontal="center"/>
    </xf>
    <xf numFmtId="44" fontId="0" fillId="0" borderId="0" xfId="12" applyFont="1"/>
    <xf numFmtId="44" fontId="5" fillId="0" borderId="0" xfId="12" applyFont="1"/>
    <xf numFmtId="170" fontId="0" fillId="0" borderId="0" xfId="0" applyNumberFormat="1" applyAlignment="1">
      <alignment horizontal="center"/>
    </xf>
    <xf numFmtId="43" fontId="87" fillId="16" borderId="0" xfId="0" applyNumberFormat="1" applyFont="1" applyFill="1"/>
    <xf numFmtId="170" fontId="7" fillId="16" borderId="0" xfId="9" applyNumberFormat="1" applyFont="1" applyFill="1" applyAlignment="1">
      <alignment horizontal="center"/>
    </xf>
    <xf numFmtId="2" fontId="6" fillId="0" borderId="0" xfId="12" applyNumberFormat="1" applyFont="1" applyAlignment="1">
      <alignment horizontal="center"/>
    </xf>
    <xf numFmtId="170" fontId="7" fillId="40" borderId="0" xfId="9" applyNumberFormat="1" applyFont="1" applyFill="1" applyAlignment="1">
      <alignment horizontal="center"/>
    </xf>
    <xf numFmtId="44" fontId="0" fillId="11" borderId="0" xfId="12" applyFont="1" applyFill="1" applyAlignment="1">
      <alignment horizontal="center"/>
    </xf>
    <xf numFmtId="44" fontId="0" fillId="11" borderId="0" xfId="0" applyNumberFormat="1" applyFill="1" applyAlignment="1">
      <alignment horizontal="center"/>
    </xf>
    <xf numFmtId="170" fontId="0" fillId="40" borderId="0" xfId="9" applyNumberFormat="1" applyFont="1" applyFill="1" applyAlignment="1">
      <alignment horizontal="center"/>
    </xf>
    <xf numFmtId="171" fontId="0" fillId="0" borderId="0" xfId="0" applyNumberFormat="1" applyAlignment="1">
      <alignment horizontal="center"/>
    </xf>
    <xf numFmtId="0" fontId="93" fillId="32" borderId="16" xfId="0" applyFont="1" applyFill="1" applyBorder="1" applyAlignment="1">
      <alignment wrapText="1"/>
    </xf>
    <xf numFmtId="0" fontId="94" fillId="32" borderId="16" xfId="0" applyFont="1" applyFill="1" applyBorder="1" applyAlignment="1">
      <alignment wrapText="1"/>
    </xf>
    <xf numFmtId="0" fontId="95" fillId="0" borderId="16" xfId="0" applyFont="1" applyBorder="1"/>
    <xf numFmtId="0" fontId="96" fillId="0" borderId="16" xfId="0" applyFont="1" applyBorder="1"/>
    <xf numFmtId="3" fontId="96" fillId="0" borderId="16" xfId="0" applyNumberFormat="1" applyFont="1" applyBorder="1"/>
    <xf numFmtId="4" fontId="96" fillId="0" borderId="16" xfId="0" applyNumberFormat="1" applyFont="1" applyBorder="1"/>
    <xf numFmtId="0" fontId="96" fillId="0" borderId="15" xfId="0" applyFont="1" applyBorder="1"/>
    <xf numFmtId="0" fontId="95" fillId="0" borderId="15" xfId="0" applyFont="1" applyBorder="1"/>
    <xf numFmtId="0" fontId="95" fillId="0" borderId="15" xfId="0" applyFont="1" applyBorder="1" applyAlignment="1">
      <alignment wrapText="1"/>
    </xf>
    <xf numFmtId="0" fontId="95" fillId="0" borderId="16" xfId="0" applyFont="1" applyBorder="1" applyAlignment="1">
      <alignment wrapText="1"/>
    </xf>
    <xf numFmtId="0" fontId="96" fillId="0" borderId="11" xfId="0" applyFont="1" applyBorder="1" applyAlignment="1">
      <alignment wrapText="1"/>
    </xf>
    <xf numFmtId="0" fontId="96" fillId="0" borderId="9" xfId="0" applyFont="1" applyBorder="1" applyAlignment="1">
      <alignment wrapText="1"/>
    </xf>
    <xf numFmtId="0" fontId="96" fillId="32" borderId="11" xfId="0" applyFont="1" applyFill="1" applyBorder="1" applyAlignment="1">
      <alignment wrapText="1"/>
    </xf>
    <xf numFmtId="0" fontId="95" fillId="32" borderId="16" xfId="0" applyFont="1" applyFill="1" applyBorder="1"/>
    <xf numFmtId="0" fontId="96" fillId="32" borderId="16" xfId="0" applyFont="1" applyFill="1" applyBorder="1"/>
    <xf numFmtId="3" fontId="96" fillId="32" borderId="16" xfId="0" applyNumberFormat="1" applyFont="1" applyFill="1" applyBorder="1"/>
    <xf numFmtId="4" fontId="96" fillId="32" borderId="16" xfId="0" applyNumberFormat="1" applyFont="1" applyFill="1" applyBorder="1"/>
    <xf numFmtId="0" fontId="96" fillId="32" borderId="9" xfId="0" applyFont="1" applyFill="1" applyBorder="1"/>
    <xf numFmtId="0" fontId="96" fillId="32" borderId="9" xfId="0" applyFont="1" applyFill="1" applyBorder="1" applyAlignment="1">
      <alignment wrapText="1"/>
    </xf>
    <xf numFmtId="0" fontId="93" fillId="32" borderId="31" xfId="0" applyFont="1" applyFill="1" applyBorder="1" applyAlignment="1">
      <alignment wrapText="1"/>
    </xf>
    <xf numFmtId="0" fontId="96" fillId="0" borderId="15" xfId="0" applyFont="1" applyBorder="1" applyAlignment="1">
      <alignment wrapText="1"/>
    </xf>
    <xf numFmtId="0" fontId="40" fillId="0" borderId="16" xfId="0" applyFont="1" applyBorder="1"/>
    <xf numFmtId="0" fontId="95" fillId="0" borderId="31" xfId="0" applyFont="1" applyBorder="1"/>
    <xf numFmtId="0" fontId="96" fillId="0" borderId="31" xfId="0" applyFont="1" applyBorder="1"/>
    <xf numFmtId="3" fontId="96" fillId="0" borderId="31" xfId="0" applyNumberFormat="1" applyFont="1" applyBorder="1"/>
    <xf numFmtId="0" fontId="96" fillId="0" borderId="107" xfId="0" applyFont="1" applyBorder="1" applyAlignment="1">
      <alignment wrapText="1"/>
    </xf>
    <xf numFmtId="0" fontId="96" fillId="0" borderId="107" xfId="0" applyFont="1" applyBorder="1"/>
    <xf numFmtId="0" fontId="40" fillId="0" borderId="15" xfId="0" applyFont="1" applyBorder="1"/>
    <xf numFmtId="0" fontId="97" fillId="0" borderId="16" xfId="0" applyFont="1" applyBorder="1"/>
    <xf numFmtId="0" fontId="97" fillId="0" borderId="16" xfId="0" applyFont="1" applyBorder="1" applyAlignment="1">
      <alignment wrapText="1"/>
    </xf>
    <xf numFmtId="0" fontId="0" fillId="4" borderId="0" xfId="0" applyFill="1"/>
    <xf numFmtId="0" fontId="96" fillId="4" borderId="16" xfId="0" applyFont="1" applyFill="1" applyBorder="1"/>
    <xf numFmtId="0" fontId="95" fillId="4" borderId="16" xfId="0" applyFont="1" applyFill="1" applyBorder="1"/>
    <xf numFmtId="3" fontId="96" fillId="4" borderId="16" xfId="0" applyNumberFormat="1" applyFont="1" applyFill="1" applyBorder="1"/>
    <xf numFmtId="4" fontId="96" fillId="4" borderId="16" xfId="0" applyNumberFormat="1" applyFont="1" applyFill="1" applyBorder="1"/>
    <xf numFmtId="0" fontId="7" fillId="2" borderId="16" xfId="0" applyFont="1" applyFill="1" applyBorder="1" applyAlignment="1">
      <alignment horizontal="center"/>
    </xf>
    <xf numFmtId="0" fontId="98" fillId="32" borderId="16" xfId="0" applyFont="1" applyFill="1" applyBorder="1" applyAlignment="1">
      <alignment wrapText="1"/>
    </xf>
    <xf numFmtId="0" fontId="93" fillId="32" borderId="19" xfId="0" applyFont="1" applyFill="1" applyBorder="1" applyAlignment="1">
      <alignment wrapText="1"/>
    </xf>
    <xf numFmtId="0" fontId="94" fillId="32" borderId="19" xfId="0" applyFont="1" applyFill="1" applyBorder="1" applyAlignment="1">
      <alignment wrapText="1"/>
    </xf>
    <xf numFmtId="0" fontId="93" fillId="32" borderId="115" xfId="0" applyFont="1" applyFill="1" applyBorder="1" applyAlignment="1">
      <alignment wrapText="1"/>
    </xf>
    <xf numFmtId="0" fontId="99" fillId="0" borderId="0" xfId="0" applyFont="1"/>
    <xf numFmtId="0" fontId="96" fillId="0" borderId="11" xfId="0" applyFont="1" applyBorder="1"/>
    <xf numFmtId="0" fontId="96" fillId="0" borderId="14" xfId="0" applyFont="1" applyBorder="1"/>
    <xf numFmtId="0" fontId="95" fillId="0" borderId="14" xfId="0" applyFont="1" applyBorder="1" applyAlignment="1">
      <alignment wrapText="1"/>
    </xf>
    <xf numFmtId="0" fontId="100" fillId="0" borderId="14" xfId="0" applyFont="1" applyBorder="1"/>
    <xf numFmtId="3" fontId="96" fillId="0" borderId="14" xfId="0" applyNumberFormat="1" applyFont="1" applyBorder="1"/>
    <xf numFmtId="0" fontId="96" fillId="0" borderId="14" xfId="0" applyFont="1" applyBorder="1" applyAlignment="1">
      <alignment wrapText="1"/>
    </xf>
    <xf numFmtId="0" fontId="96" fillId="0" borderId="13" xfId="0" applyFont="1" applyBorder="1"/>
    <xf numFmtId="0" fontId="96" fillId="0" borderId="9" xfId="0" applyFont="1" applyBorder="1"/>
    <xf numFmtId="0" fontId="95" fillId="0" borderId="11" xfId="0" applyFont="1" applyBorder="1" applyAlignment="1">
      <alignment wrapText="1"/>
    </xf>
    <xf numFmtId="0" fontId="95" fillId="0" borderId="14" xfId="0" applyFont="1" applyBorder="1"/>
    <xf numFmtId="0" fontId="101" fillId="0" borderId="63" xfId="0" applyFont="1" applyBorder="1" applyAlignment="1">
      <alignment wrapText="1"/>
    </xf>
    <xf numFmtId="0" fontId="96" fillId="42" borderId="11" xfId="0" applyFont="1" applyFill="1" applyBorder="1"/>
    <xf numFmtId="0" fontId="96" fillId="0" borderId="108" xfId="0" applyFont="1" applyBorder="1"/>
    <xf numFmtId="0" fontId="101" fillId="0" borderId="116" xfId="0" applyFont="1" applyBorder="1" applyAlignment="1">
      <alignment wrapText="1"/>
    </xf>
    <xf numFmtId="0" fontId="95" fillId="0" borderId="19" xfId="0" applyFont="1" applyBorder="1" applyAlignment="1">
      <alignment wrapText="1"/>
    </xf>
    <xf numFmtId="0" fontId="96" fillId="43" borderId="11" xfId="0" applyFont="1" applyFill="1" applyBorder="1"/>
    <xf numFmtId="0" fontId="96" fillId="43" borderId="14" xfId="0" applyFont="1" applyFill="1" applyBorder="1"/>
    <xf numFmtId="0" fontId="95" fillId="43" borderId="14" xfId="0" applyFont="1" applyFill="1" applyBorder="1" applyAlignment="1">
      <alignment wrapText="1"/>
    </xf>
    <xf numFmtId="0" fontId="95" fillId="43" borderId="14" xfId="0" applyFont="1" applyFill="1" applyBorder="1"/>
    <xf numFmtId="0" fontId="96" fillId="43" borderId="14" xfId="0" applyFont="1" applyFill="1" applyBorder="1" applyAlignment="1">
      <alignment wrapText="1"/>
    </xf>
    <xf numFmtId="0" fontId="96" fillId="43" borderId="13" xfId="0" applyFont="1" applyFill="1" applyBorder="1"/>
    <xf numFmtId="0" fontId="96" fillId="43" borderId="9" xfId="0" applyFont="1" applyFill="1" applyBorder="1"/>
    <xf numFmtId="0" fontId="95" fillId="43" borderId="11" xfId="0" applyFont="1" applyFill="1" applyBorder="1" applyAlignment="1">
      <alignment wrapText="1"/>
    </xf>
    <xf numFmtId="0" fontId="99" fillId="0" borderId="0" xfId="0" applyFont="1" applyAlignment="1">
      <alignment wrapText="1"/>
    </xf>
    <xf numFmtId="0" fontId="42" fillId="0" borderId="0" xfId="0" applyFont="1"/>
    <xf numFmtId="0" fontId="69" fillId="32" borderId="19" xfId="0" applyFont="1" applyFill="1" applyBorder="1" applyAlignment="1">
      <alignment wrapText="1"/>
    </xf>
    <xf numFmtId="0" fontId="102" fillId="32" borderId="19" xfId="0" applyFont="1" applyFill="1" applyBorder="1" applyAlignment="1">
      <alignment wrapText="1"/>
    </xf>
    <xf numFmtId="0" fontId="69" fillId="32" borderId="115" xfId="0" applyFont="1" applyFill="1" applyBorder="1" applyAlignment="1">
      <alignment wrapText="1"/>
    </xf>
    <xf numFmtId="0" fontId="71" fillId="0" borderId="11" xfId="0" applyFont="1" applyBorder="1"/>
    <xf numFmtId="0" fontId="71" fillId="0" borderId="14" xfId="0" applyFont="1" applyBorder="1"/>
    <xf numFmtId="3" fontId="71" fillId="0" borderId="14" xfId="0" applyNumberFormat="1" applyFont="1" applyBorder="1"/>
    <xf numFmtId="4" fontId="71" fillId="0" borderId="14" xfId="0" applyNumberFormat="1" applyFont="1" applyBorder="1"/>
    <xf numFmtId="0" fontId="71" fillId="0" borderId="14" xfId="0" applyFont="1" applyBorder="1" applyAlignment="1">
      <alignment wrapText="1"/>
    </xf>
    <xf numFmtId="0" fontId="71" fillId="0" borderId="13" xfId="0" applyFont="1" applyBorder="1"/>
    <xf numFmtId="0" fontId="71" fillId="0" borderId="9" xfId="0" applyFont="1" applyBorder="1"/>
    <xf numFmtId="0" fontId="71" fillId="0" borderId="60" xfId="0" applyFont="1" applyBorder="1"/>
    <xf numFmtId="0" fontId="40" fillId="0" borderId="0" xfId="0" applyFont="1" applyAlignment="1">
      <alignment wrapText="1"/>
    </xf>
    <xf numFmtId="0" fontId="102" fillId="32" borderId="16" xfId="0" applyFont="1" applyFill="1" applyBorder="1" applyAlignment="1">
      <alignment wrapText="1"/>
    </xf>
    <xf numFmtId="0" fontId="77" fillId="32" borderId="19" xfId="0" applyFont="1" applyFill="1" applyBorder="1" applyAlignment="1">
      <alignment wrapText="1"/>
    </xf>
    <xf numFmtId="0" fontId="79" fillId="0" borderId="14" xfId="0" applyFont="1" applyBorder="1"/>
    <xf numFmtId="0" fontId="79" fillId="0" borderId="9" xfId="0" applyFont="1" applyBorder="1" applyAlignment="1">
      <alignment wrapText="1"/>
    </xf>
    <xf numFmtId="0" fontId="40" fillId="0" borderId="60" xfId="0" applyFont="1" applyBorder="1"/>
    <xf numFmtId="0" fontId="40" fillId="0" borderId="63" xfId="0" applyFont="1" applyBorder="1"/>
    <xf numFmtId="0" fontId="71" fillId="0" borderId="83" xfId="0" applyFont="1" applyBorder="1"/>
    <xf numFmtId="0" fontId="79" fillId="0" borderId="107" xfId="0" applyFont="1" applyBorder="1" applyAlignment="1">
      <alignment wrapText="1"/>
    </xf>
    <xf numFmtId="0" fontId="71" fillId="0" borderId="19" xfId="0" applyFont="1" applyBorder="1"/>
    <xf numFmtId="0" fontId="79" fillId="0" borderId="15" xfId="0" applyFont="1" applyBorder="1" applyAlignment="1">
      <alignment wrapText="1"/>
    </xf>
    <xf numFmtId="0" fontId="71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12" borderId="0" xfId="0" applyFont="1" applyFill="1" applyAlignment="1">
      <alignment horizontal="center"/>
    </xf>
    <xf numFmtId="0" fontId="71" fillId="0" borderId="14" xfId="0" applyFont="1" applyBorder="1" applyAlignment="1">
      <alignment horizontal="right"/>
    </xf>
    <xf numFmtId="43" fontId="50" fillId="15" borderId="0" xfId="0" applyNumberFormat="1" applyFont="1" applyFill="1" applyAlignment="1">
      <alignment horizontal="right" vertical="center"/>
    </xf>
    <xf numFmtId="0" fontId="0" fillId="0" borderId="29" xfId="0" applyBorder="1" applyAlignment="1">
      <alignment vertical="center"/>
    </xf>
    <xf numFmtId="0" fontId="7" fillId="2" borderId="19" xfId="0" applyFont="1" applyFill="1" applyBorder="1" applyAlignment="1">
      <alignment horizont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29" xfId="0" applyFont="1" applyBorder="1"/>
    <xf numFmtId="0" fontId="106" fillId="0" borderId="0" xfId="0" applyFont="1" applyAlignment="1">
      <alignment wrapText="1"/>
    </xf>
    <xf numFmtId="0" fontId="105" fillId="0" borderId="0" xfId="0" applyFont="1" applyAlignment="1">
      <alignment wrapText="1"/>
    </xf>
    <xf numFmtId="0" fontId="107" fillId="0" borderId="0" xfId="0" applyFont="1"/>
    <xf numFmtId="0" fontId="104" fillId="0" borderId="0" xfId="0" applyFont="1" applyAlignment="1">
      <alignment horizontal="center"/>
    </xf>
    <xf numFmtId="0" fontId="108" fillId="32" borderId="19" xfId="0" applyFont="1" applyFill="1" applyBorder="1" applyAlignment="1">
      <alignment wrapText="1"/>
    </xf>
    <xf numFmtId="0" fontId="109" fillId="0" borderId="14" xfId="0" applyFont="1" applyBorder="1" applyAlignment="1">
      <alignment wrapText="1"/>
    </xf>
    <xf numFmtId="0" fontId="109" fillId="0" borderId="14" xfId="0" applyFont="1" applyBorder="1"/>
    <xf numFmtId="0" fontId="109" fillId="0" borderId="83" xfId="0" applyFont="1" applyBorder="1" applyAlignment="1">
      <alignment wrapText="1"/>
    </xf>
    <xf numFmtId="0" fontId="109" fillId="0" borderId="115" xfId="0" applyFont="1" applyBorder="1" applyAlignment="1">
      <alignment wrapText="1"/>
    </xf>
    <xf numFmtId="0" fontId="109" fillId="0" borderId="19" xfId="0" applyFont="1" applyBorder="1" applyAlignment="1">
      <alignment wrapText="1"/>
    </xf>
    <xf numFmtId="0" fontId="109" fillId="0" borderId="0" xfId="0" applyFont="1"/>
    <xf numFmtId="43" fontId="110" fillId="15" borderId="0" xfId="0" applyNumberFormat="1" applyFont="1" applyFill="1"/>
    <xf numFmtId="0" fontId="7" fillId="2" borderId="14" xfId="0" applyFont="1" applyFill="1" applyBorder="1" applyAlignment="1">
      <alignment horizontal="center"/>
    </xf>
    <xf numFmtId="0" fontId="111" fillId="5" borderId="0" xfId="0" applyFont="1" applyFill="1"/>
    <xf numFmtId="0" fontId="113" fillId="20" borderId="17" xfId="0" applyFont="1" applyFill="1" applyBorder="1"/>
    <xf numFmtId="0" fontId="0" fillId="11" borderId="18" xfId="0" applyFill="1" applyBorder="1"/>
    <xf numFmtId="0" fontId="0" fillId="11" borderId="10" xfId="0" applyFill="1" applyBorder="1"/>
    <xf numFmtId="0" fontId="55" fillId="11" borderId="18" xfId="0" applyFont="1" applyFill="1" applyBorder="1"/>
    <xf numFmtId="0" fontId="114" fillId="0" borderId="0" xfId="0" applyFont="1"/>
    <xf numFmtId="0" fontId="0" fillId="2" borderId="60" xfId="0" applyFill="1" applyBorder="1" applyAlignment="1">
      <alignment horizontal="center"/>
    </xf>
    <xf numFmtId="14" fontId="0" fillId="0" borderId="0" xfId="0" applyNumberFormat="1"/>
    <xf numFmtId="0" fontId="3" fillId="0" borderId="60" xfId="4" applyBorder="1"/>
    <xf numFmtId="0" fontId="2" fillId="31" borderId="60" xfId="4" applyFont="1" applyFill="1" applyBorder="1"/>
    <xf numFmtId="0" fontId="15" fillId="0" borderId="60" xfId="0" applyFont="1" applyBorder="1"/>
    <xf numFmtId="0" fontId="0" fillId="2" borderId="113" xfId="0" applyFill="1" applyBorder="1" applyAlignment="1">
      <alignment horizontal="center"/>
    </xf>
    <xf numFmtId="0" fontId="27" fillId="0" borderId="60" xfId="0" applyFont="1" applyBorder="1"/>
    <xf numFmtId="0" fontId="33" fillId="0" borderId="0" xfId="0" applyFont="1"/>
    <xf numFmtId="0" fontId="112" fillId="20" borderId="17" xfId="0" applyFont="1" applyFill="1" applyBorder="1"/>
    <xf numFmtId="0" fontId="3" fillId="0" borderId="60" xfId="4" applyBorder="1" applyAlignment="1">
      <alignment wrapText="1"/>
    </xf>
    <xf numFmtId="0" fontId="0" fillId="2" borderId="19" xfId="0" applyFill="1" applyBorder="1" applyAlignment="1">
      <alignment horizontal="center" wrapText="1"/>
    </xf>
    <xf numFmtId="0" fontId="45" fillId="20" borderId="17" xfId="0" applyFont="1" applyFill="1" applyBorder="1" applyAlignment="1">
      <alignment wrapText="1"/>
    </xf>
    <xf numFmtId="0" fontId="45" fillId="20" borderId="12" xfId="0" applyFont="1" applyFill="1" applyBorder="1" applyAlignment="1">
      <alignment wrapText="1"/>
    </xf>
    <xf numFmtId="164" fontId="116" fillId="15" borderId="0" xfId="0" applyNumberFormat="1" applyFont="1" applyFill="1" applyAlignment="1">
      <alignment horizontal="center"/>
    </xf>
    <xf numFmtId="0" fontId="112" fillId="20" borderId="12" xfId="0" applyFont="1" applyFill="1" applyBorder="1"/>
    <xf numFmtId="0" fontId="115" fillId="0" borderId="0" xfId="0" applyFont="1"/>
    <xf numFmtId="0" fontId="80" fillId="0" borderId="14" xfId="0" applyFont="1" applyBorder="1"/>
    <xf numFmtId="0" fontId="80" fillId="0" borderId="13" xfId="0" applyFont="1" applyBorder="1"/>
    <xf numFmtId="0" fontId="80" fillId="0" borderId="9" xfId="0" applyFont="1" applyBorder="1"/>
    <xf numFmtId="0" fontId="71" fillId="0" borderId="63" xfId="0" applyFont="1" applyBorder="1" applyAlignment="1">
      <alignment wrapText="1"/>
    </xf>
    <xf numFmtId="0" fontId="71" fillId="44" borderId="14" xfId="0" applyFont="1" applyFill="1" applyBorder="1" applyAlignment="1">
      <alignment wrapText="1"/>
    </xf>
    <xf numFmtId="0" fontId="71" fillId="0" borderId="43" xfId="0" applyFont="1" applyBorder="1"/>
    <xf numFmtId="0" fontId="79" fillId="0" borderId="83" xfId="0" applyFont="1" applyBorder="1"/>
    <xf numFmtId="3" fontId="71" fillId="0" borderId="83" xfId="0" applyNumberFormat="1" applyFont="1" applyBorder="1"/>
    <xf numFmtId="4" fontId="71" fillId="0" borderId="83" xfId="0" applyNumberFormat="1" applyFont="1" applyBorder="1"/>
    <xf numFmtId="0" fontId="71" fillId="0" borderId="83" xfId="0" applyFont="1" applyBorder="1" applyAlignment="1">
      <alignment wrapText="1"/>
    </xf>
    <xf numFmtId="0" fontId="71" fillId="0" borderId="116" xfId="0" applyFont="1" applyBorder="1" applyAlignment="1">
      <alignment wrapText="1"/>
    </xf>
    <xf numFmtId="0" fontId="71" fillId="0" borderId="16" xfId="0" applyFont="1" applyBorder="1"/>
    <xf numFmtId="0" fontId="79" fillId="0" borderId="19" xfId="0" applyFont="1" applyBorder="1"/>
    <xf numFmtId="3" fontId="71" fillId="0" borderId="19" xfId="0" applyNumberFormat="1" applyFont="1" applyBorder="1"/>
    <xf numFmtId="4" fontId="71" fillId="0" borderId="19" xfId="0" applyNumberFormat="1" applyFont="1" applyBorder="1"/>
    <xf numFmtId="0" fontId="71" fillId="0" borderId="115" xfId="0" applyFont="1" applyBorder="1"/>
    <xf numFmtId="0" fontId="71" fillId="44" borderId="14" xfId="0" applyFont="1" applyFill="1" applyBorder="1"/>
    <xf numFmtId="0" fontId="71" fillId="0" borderId="19" xfId="0" applyFont="1" applyBorder="1" applyAlignment="1">
      <alignment wrapText="1"/>
    </xf>
    <xf numFmtId="0" fontId="71" fillId="8" borderId="19" xfId="0" applyFont="1" applyFill="1" applyBorder="1" applyAlignment="1">
      <alignment wrapText="1"/>
    </xf>
    <xf numFmtId="0" fontId="71" fillId="8" borderId="19" xfId="0" applyFont="1" applyFill="1" applyBorder="1"/>
    <xf numFmtId="0" fontId="71" fillId="8" borderId="14" xfId="0" applyFont="1" applyFill="1" applyBorder="1"/>
    <xf numFmtId="0" fontId="71" fillId="8" borderId="14" xfId="0" applyFont="1" applyFill="1" applyBorder="1" applyAlignment="1">
      <alignment wrapText="1"/>
    </xf>
    <xf numFmtId="0" fontId="80" fillId="8" borderId="14" xfId="0" applyFont="1" applyFill="1" applyBorder="1"/>
    <xf numFmtId="0" fontId="71" fillId="45" borderId="14" xfId="0" applyFont="1" applyFill="1" applyBorder="1"/>
    <xf numFmtId="0" fontId="79" fillId="0" borderId="14" xfId="0" applyFont="1" applyBorder="1" applyAlignment="1">
      <alignment wrapText="1"/>
    </xf>
    <xf numFmtId="0" fontId="80" fillId="0" borderId="14" xfId="0" applyFont="1" applyBorder="1" applyAlignment="1">
      <alignment wrapText="1"/>
    </xf>
    <xf numFmtId="0" fontId="79" fillId="0" borderId="63" xfId="0" applyFont="1" applyBorder="1" applyAlignment="1">
      <alignment wrapText="1"/>
    </xf>
    <xf numFmtId="0" fontId="71" fillId="0" borderId="106" xfId="0" applyFont="1" applyBorder="1" applyAlignment="1">
      <alignment wrapText="1"/>
    </xf>
    <xf numFmtId="0" fontId="71" fillId="20" borderId="14" xfId="0" applyFont="1" applyFill="1" applyBorder="1"/>
    <xf numFmtId="0" fontId="71" fillId="0" borderId="118" xfId="0" applyFont="1" applyBorder="1" applyAlignment="1">
      <alignment wrapText="1"/>
    </xf>
    <xf numFmtId="0" fontId="71" fillId="0" borderId="0" xfId="0" applyFont="1"/>
    <xf numFmtId="0" fontId="79" fillId="0" borderId="108" xfId="0" applyFont="1" applyBorder="1" applyAlignment="1">
      <alignment wrapText="1"/>
    </xf>
    <xf numFmtId="0" fontId="71" fillId="0" borderId="116" xfId="0" applyFont="1" applyBorder="1"/>
    <xf numFmtId="0" fontId="79" fillId="0" borderId="19" xfId="0" applyFont="1" applyBorder="1" applyAlignment="1">
      <alignment wrapText="1"/>
    </xf>
    <xf numFmtId="0" fontId="79" fillId="0" borderId="115" xfId="0" applyFont="1" applyBorder="1"/>
    <xf numFmtId="0" fontId="102" fillId="32" borderId="0" xfId="0" applyFont="1" applyFill="1" applyAlignment="1">
      <alignment wrapText="1"/>
    </xf>
    <xf numFmtId="0" fontId="79" fillId="0" borderId="0" xfId="0" applyFont="1"/>
    <xf numFmtId="0" fontId="11" fillId="0" borderId="2" xfId="0" applyFont="1" applyBorder="1"/>
    <xf numFmtId="0" fontId="7" fillId="0" borderId="8" xfId="0" applyFont="1" applyBorder="1"/>
    <xf numFmtId="0" fontId="0" fillId="0" borderId="13" xfId="0" applyBorder="1"/>
    <xf numFmtId="0" fontId="0" fillId="0" borderId="120" xfId="0" applyBorder="1"/>
    <xf numFmtId="0" fontId="0" fillId="0" borderId="120" xfId="0" applyBorder="1" applyAlignment="1">
      <alignment wrapText="1"/>
    </xf>
    <xf numFmtId="0" fontId="0" fillId="0" borderId="121" xfId="0" applyBorder="1"/>
    <xf numFmtId="0" fontId="10" fillId="0" borderId="4" xfId="0" applyFont="1" applyBorder="1"/>
    <xf numFmtId="0" fontId="7" fillId="0" borderId="2" xfId="0" applyFont="1" applyBorder="1"/>
    <xf numFmtId="0" fontId="50" fillId="15" borderId="60" xfId="0" applyFont="1" applyFill="1" applyBorder="1" applyAlignment="1">
      <alignment horizontal="center"/>
    </xf>
    <xf numFmtId="0" fontId="50" fillId="0" borderId="60" xfId="0" applyFont="1" applyBorder="1"/>
    <xf numFmtId="0" fontId="71" fillId="0" borderId="14" xfId="0" applyFont="1" applyBorder="1" applyAlignment="1">
      <alignment horizontal="left"/>
    </xf>
    <xf numFmtId="0" fontId="71" fillId="11" borderId="14" xfId="0" applyFont="1" applyFill="1" applyBorder="1"/>
    <xf numFmtId="0" fontId="71" fillId="46" borderId="14" xfId="0" applyFont="1" applyFill="1" applyBorder="1"/>
    <xf numFmtId="0" fontId="78" fillId="46" borderId="14" xfId="0" applyFont="1" applyFill="1" applyBorder="1"/>
    <xf numFmtId="0" fontId="79" fillId="8" borderId="0" xfId="0" applyFont="1" applyFill="1"/>
    <xf numFmtId="0" fontId="71" fillId="8" borderId="60" xfId="0" applyFont="1" applyFill="1" applyBorder="1"/>
    <xf numFmtId="0" fontId="79" fillId="8" borderId="14" xfId="0" applyFont="1" applyFill="1" applyBorder="1"/>
    <xf numFmtId="3" fontId="71" fillId="8" borderId="14" xfId="0" applyNumberFormat="1" applyFont="1" applyFill="1" applyBorder="1"/>
    <xf numFmtId="4" fontId="71" fillId="8" borderId="14" xfId="0" applyNumberFormat="1" applyFont="1" applyFill="1" applyBorder="1"/>
    <xf numFmtId="0" fontId="71" fillId="8" borderId="13" xfId="0" applyFont="1" applyFill="1" applyBorder="1"/>
    <xf numFmtId="0" fontId="71" fillId="8" borderId="9" xfId="0" applyFont="1" applyFill="1" applyBorder="1"/>
    <xf numFmtId="0" fontId="79" fillId="8" borderId="63" xfId="0" applyFont="1" applyFill="1" applyBorder="1" applyAlignment="1">
      <alignment wrapText="1"/>
    </xf>
    <xf numFmtId="0" fontId="0" fillId="8" borderId="0" xfId="0" applyFill="1"/>
    <xf numFmtId="0" fontId="71" fillId="46" borderId="19" xfId="0" applyFont="1" applyFill="1" applyBorder="1"/>
    <xf numFmtId="0" fontId="1" fillId="0" borderId="117" xfId="0" applyFont="1" applyBorder="1"/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31" borderId="81" xfId="0" applyFont="1" applyFill="1" applyBorder="1" applyAlignment="1">
      <alignment horizontal="center" vertical="center" wrapText="1"/>
    </xf>
    <xf numFmtId="0" fontId="7" fillId="31" borderId="82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left" vertical="top" wrapText="1"/>
    </xf>
    <xf numFmtId="0" fontId="0" fillId="5" borderId="44" xfId="0" applyFill="1" applyBorder="1" applyAlignment="1">
      <alignment horizontal="left" vertical="top" wrapText="1"/>
    </xf>
    <xf numFmtId="0" fontId="14" fillId="0" borderId="0" xfId="0" applyFont="1" applyAlignment="1">
      <alignment horizontal="right"/>
    </xf>
    <xf numFmtId="0" fontId="7" fillId="2" borderId="32" xfId="0" applyFont="1" applyFill="1" applyBorder="1" applyAlignment="1">
      <alignment horizontal="right" vertical="center" textRotation="90"/>
    </xf>
    <xf numFmtId="0" fontId="7" fillId="2" borderId="18" xfId="0" applyFont="1" applyFill="1" applyBorder="1" applyAlignment="1">
      <alignment horizontal="right" vertical="center" textRotation="90"/>
    </xf>
    <xf numFmtId="0" fontId="7" fillId="2" borderId="5" xfId="0" applyFont="1" applyFill="1" applyBorder="1" applyAlignment="1">
      <alignment horizontal="right" vertical="center" textRotation="90"/>
    </xf>
    <xf numFmtId="0" fontId="7" fillId="4" borderId="10" xfId="0" applyFont="1" applyFill="1" applyBorder="1" applyAlignment="1">
      <alignment horizontal="right" vertical="center" textRotation="90"/>
    </xf>
    <xf numFmtId="0" fontId="7" fillId="4" borderId="18" xfId="0" applyFont="1" applyFill="1" applyBorder="1" applyAlignment="1">
      <alignment horizontal="right" vertical="center" textRotation="90"/>
    </xf>
    <xf numFmtId="0" fontId="7" fillId="4" borderId="5" xfId="0" applyFont="1" applyFill="1" applyBorder="1" applyAlignment="1">
      <alignment horizontal="right" vertical="center" textRotation="90"/>
    </xf>
    <xf numFmtId="0" fontId="11" fillId="2" borderId="13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7" fillId="5" borderId="49" xfId="0" applyFont="1" applyFill="1" applyBorder="1" applyAlignment="1">
      <alignment horizontal="left" vertical="top" wrapText="1"/>
    </xf>
    <xf numFmtId="0" fontId="17" fillId="5" borderId="44" xfId="0" applyFont="1" applyFill="1" applyBorder="1" applyAlignment="1">
      <alignment horizontal="left" vertical="top" wrapText="1"/>
    </xf>
    <xf numFmtId="0" fontId="83" fillId="27" borderId="13" xfId="0" applyFont="1" applyFill="1" applyBorder="1"/>
    <xf numFmtId="0" fontId="83" fillId="28" borderId="13" xfId="0" applyFont="1" applyFill="1" applyBorder="1"/>
    <xf numFmtId="0" fontId="67" fillId="5" borderId="49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7" fillId="2" borderId="119" xfId="0" applyFont="1" applyFill="1" applyBorder="1" applyAlignment="1">
      <alignment horizontal="right" vertical="center" textRotation="90"/>
    </xf>
    <xf numFmtId="0" fontId="7" fillId="2" borderId="19" xfId="0" applyFont="1" applyFill="1" applyBorder="1" applyAlignment="1">
      <alignment horizontal="right" vertical="center" textRotation="90"/>
    </xf>
    <xf numFmtId="0" fontId="7" fillId="2" borderId="8" xfId="0" applyFont="1" applyFill="1" applyBorder="1" applyAlignment="1">
      <alignment horizontal="right" vertical="center" textRotation="90"/>
    </xf>
    <xf numFmtId="0" fontId="7" fillId="4" borderId="14" xfId="0" applyFont="1" applyFill="1" applyBorder="1" applyAlignment="1">
      <alignment horizontal="right" vertical="center" textRotation="90"/>
    </xf>
    <xf numFmtId="0" fontId="7" fillId="4" borderId="19" xfId="0" applyFont="1" applyFill="1" applyBorder="1" applyAlignment="1">
      <alignment horizontal="right" vertical="center" textRotation="90"/>
    </xf>
    <xf numFmtId="0" fontId="7" fillId="4" borderId="8" xfId="0" applyFont="1" applyFill="1" applyBorder="1" applyAlignment="1">
      <alignment horizontal="right" vertical="center" textRotation="90"/>
    </xf>
    <xf numFmtId="0" fontId="28" fillId="0" borderId="0" xfId="0" applyFont="1" applyAlignment="1">
      <alignment horizontal="center"/>
    </xf>
  </cellXfs>
  <cellStyles count="13">
    <cellStyle name="Comma" xfId="9" builtinId="3"/>
    <cellStyle name="Comma 2" xfId="5" xr:uid="{2A450948-C2A4-4E69-8D4F-C28D9175A0CB}"/>
    <cellStyle name="Comma 3" xfId="8" xr:uid="{ACF654B4-9BE2-447B-A4CA-46A7D8CF5F62}"/>
    <cellStyle name="Currency" xfId="12" builtinId="4"/>
    <cellStyle name="Normal" xfId="0" builtinId="0"/>
    <cellStyle name="Normal 10" xfId="11" xr:uid="{FC8B3026-DC98-DC46-AB1B-A719BD886AA2}"/>
    <cellStyle name="Normal 10 2" xfId="7" xr:uid="{B5D73A36-3EEE-4A9E-B338-B0C06BA043D8}"/>
    <cellStyle name="Normal 13" xfId="10" xr:uid="{A215ADF0-0F27-E345-A9B6-A8751BAEEA08}"/>
    <cellStyle name="Normal 2 2" xfId="3" xr:uid="{17089BFD-ADAA-44C3-BE1F-BD65FC57799C}"/>
    <cellStyle name="Normal 2 2 2" xfId="4" xr:uid="{E9949FA1-A71B-4F0F-936F-0A32B59BCEC2}"/>
    <cellStyle name="Normal 3" xfId="2" xr:uid="{00000000-0005-0000-0000-000001000000}"/>
    <cellStyle name="Normal 4" xfId="6" xr:uid="{D1DBC192-6661-49B0-84CE-B20782DF0002}"/>
    <cellStyle name="Percent" xfId="1" builtinId="5"/>
  </cellStyles>
  <dxfs count="34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color theme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635000</xdr:colOff>
          <xdr:row>30</xdr:row>
          <xdr:rowOff>101600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5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76200" y="2076450"/>
          <a:ext cx="15725775" cy="779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20955</xdr:rowOff>
    </xdr:from>
    <xdr:to>
      <xdr:col>7</xdr:col>
      <xdr:colOff>1482090</xdr:colOff>
      <xdr:row>13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5250" y="2097405"/>
          <a:ext cx="1375029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41300" y="2095500"/>
          <a:ext cx="9937750" cy="785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1470445</xdr:colOff>
      <xdr:row>13</xdr:row>
      <xdr:rowOff>150674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71887" y="2057759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28575</xdr:rowOff>
    </xdr:from>
    <xdr:to>
      <xdr:col>7</xdr:col>
      <xdr:colOff>1485900</xdr:colOff>
      <xdr:row>13</xdr:row>
      <xdr:rowOff>179070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5250" y="2085975"/>
          <a:ext cx="12001500" cy="779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1466850</xdr:colOff>
      <xdr:row>13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6200" y="2076450"/>
          <a:ext cx="1375410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Step 2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Allocate TTF course reassignment based on information gathered from step 1. 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example - 1 "2YR CBA" would equal 3 WTU for Fall and 3 WTU for Spring</a:t>
          </a:r>
          <a:endParaRPr lang="en-US" sz="1400">
            <a:effectLst/>
          </a:endParaRPr>
        </a:p>
        <a:p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addition, add any course reassignments committed to NTT. Use the "Notes" section to describe the purpose for each course reassignment. </a:t>
          </a:r>
          <a:endParaRPr lang="en-US" sz="1400">
            <a:effectLst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suci.sharepoint.com/Academics/Provost%20Office/FY1415%20Budget%20Request%20and%20Attachments/AA%20FY1415%20Budget%20Request%20Submission%200318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suci.sharepoint.com/Users/kharrington/AppData/Local/Microsoft/Windows/Temporary%20Internet%20Files/Content.Outlook/AZQP61D9/AA%20FY1415%20Budget%20Request%20Template%20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415 AABudget Request Summary"/>
      <sheetName val="FY1516 TTF Details - PERM"/>
      <sheetName val="FY1516 TTF Details - TEMP"/>
      <sheetName val="University Details - PERM"/>
      <sheetName val="University Details - TEMP"/>
      <sheetName val="Sheet2"/>
      <sheetName val="AA Details - PERM"/>
      <sheetName val="AA Details - TEMP"/>
      <sheetName val="Attachment 1"/>
      <sheetName val="Attachment 1A"/>
      <sheetName val="Attachment 2"/>
      <sheetName val="Attachment 3"/>
      <sheetName val="Attachment 4"/>
      <sheetName val="Attachment 5"/>
      <sheetName val="Attachment 6"/>
      <sheetName val="Attachment 7"/>
      <sheetName val="Attachment 8"/>
      <sheetName val="Attachment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Fund Requests - TEMP"/>
      <sheetName val="Sheet2"/>
      <sheetName val="Details - TEMP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rakjy, Trina" id="{3C09184A-E927-4008-B5E0-6F90DA332248}" userId="S::trina.darakjy@csuci.edu::70dffcaf-9d35-4046-977e-ccc54ec1f7e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65D357-6177-422F-9A47-602D5175D7F2}" name="Table13" displayName="Table13" ref="A1:N196" totalsRowCount="1" headerRowDxfId="33" dataDxfId="31" headerRowBorderDxfId="32" tableBorderDxfId="30">
  <autoFilter ref="A1:N195" xr:uid="{AA65D357-6177-422F-9A47-602D5175D7F2}"/>
  <sortState xmlns:xlrd2="http://schemas.microsoft.com/office/spreadsheetml/2017/richdata2" ref="A2:N195">
    <sortCondition ref="I2:I195"/>
    <sortCondition ref="H2:H195"/>
  </sortState>
  <tableColumns count="14">
    <tableColumn id="1" xr3:uid="{25C6CB59-E5E9-46D4-90D2-9DDB4FC40D7C}" name="CHAIR" totalsRowFunction="sum" dataDxfId="29" totalsRowDxfId="28"/>
    <tableColumn id="2" xr3:uid="{43DF1D1A-60D7-47E2-931C-BB01322D5532}" name="FERP" totalsRowFunction="sum" dataDxfId="27" totalsRowDxfId="26"/>
    <tableColumn id="3" xr3:uid="{675638C8-88F3-46C1-B33F-61FF60E3B63D}" name="2YR TTF" totalsRowFunction="sum" dataDxfId="25" totalsRowDxfId="24"/>
    <tableColumn id="4" xr3:uid="{F1C6AFE3-6EC1-435E-8316-4FB9361ADC15}" name="REC TTF" totalsRowFunction="sum" dataDxfId="23" totalsRowDxfId="22"/>
    <tableColumn id="13" xr3:uid="{348EB2A0-9848-4141-BFC7-0EEFE0DE5085}" name="Additional Release" totalsRowFunction="sum" dataDxfId="21" totalsRowDxfId="20" dataCellStyle="Normal 2 2"/>
    <tableColumn id="5" xr3:uid="{588A40DA-96C9-4C5A-915A-0C728AEE7316}" name="TITLE" dataDxfId="19" totalsRowDxfId="18"/>
    <tableColumn id="6" xr3:uid="{95A48089-AFA6-4DC1-8D8F-B7BD3F032C6D}" name="FTE" totalsRowFunction="sum" dataDxfId="17" totalsRowDxfId="16"/>
    <tableColumn id="7" xr3:uid="{9912F52B-ABC2-468C-A714-999C8E7B711E}" name="NAME" dataDxfId="15" totalsRowDxfId="14"/>
    <tableColumn id="8" xr3:uid="{E7C9E8E1-CDF0-4C47-8025-3CC86A401513}" name="PROGRAM" dataDxfId="13" totalsRowDxfId="12"/>
    <tableColumn id="9" xr3:uid="{73BCC364-1C8B-4EA1-BC72-568DDCEA2B04}" name="PROGRAM DETAIL" dataDxfId="11" totalsRowDxfId="10"/>
    <tableColumn id="10" xr3:uid="{FE3703BA-211D-4F6D-920A-2BC1F247216A}" name="SCHOOL" dataDxfId="9" totalsRowDxfId="8"/>
    <tableColumn id="11" xr3:uid="{83966951-412E-4317-9BF1-46A7D2036919}" name="PM#" dataDxfId="7" totalsRowDxfId="6"/>
    <tableColumn id="12" xr3:uid="{CBBB53BC-578F-45E8-A92B-807318A58511}" name="NOTES" dataDxfId="5" totalsRowDxfId="4"/>
    <tableColumn id="14" xr3:uid="{CF8DC4DB-83E2-441E-8BE1-D06B9DB9ECC9}" name="Column1" dataDxfId="3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5" dT="2023-05-18T19:39:12.98" personId="{3C09184A-E927-4008-B5E0-6F90DA332248}" id="{0E866523-E45A-4FF1-BCAC-8A2D14D71FFF}">
    <text>Per Kirk, change headcount to 0.5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3" dT="2024-06-12T21:49:27.14" personId="{3C09184A-E927-4008-B5E0-6F90DA332248}" id="{231B6D22-2BD6-9440-9BFC-8F765F7E24F8}">
    <text>0.5 FTF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5" dT="2023-01-31T22:50:45.16" personId="{3C09184A-E927-4008-B5E0-6F90DA332248}" id="{9E804FE6-F52B-4B12-879F-7BE92F9F86BF}">
    <text>0.25/Poli - 0.75/SOE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52" dT="2023-02-10T23:09:10.17" personId="{3C09184A-E927-4008-B5E0-6F90DA332248}" id="{B3341F9A-2491-494C-885F-5811D56C3423}">
    <text>Deleted from TTF List-Status Unknown</text>
  </threadedComment>
  <threadedComment ref="A143" dT="2023-02-10T23:10:51.28" personId="{3C09184A-E927-4008-B5E0-6F90DA332248}" id="{2628AA2D-B2F5-41E1-A993-FD437BFE148F}">
    <text>Deleted from TTF List-Unknown Status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F80" dT="2023-02-27T23:45:35.19" personId="{3C09184A-E927-4008-B5E0-6F90DA332248}" id="{99780A91-4EC9-49CE-9D1C-1798C64DFD7F}">
    <text>REMOVED PER HISTORY:  University Experience Program Director</text>
  </threadedComment>
</ThreadedComment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7.bin"/><Relationship Id="rId4" Type="http://schemas.microsoft.com/office/2017/10/relationships/threadedComment" Target="../threadedComments/threadedComment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8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499984740745262"/>
  </sheetPr>
  <dimension ref="A1:K42"/>
  <sheetViews>
    <sheetView workbookViewId="0">
      <selection sqref="A1:K1"/>
    </sheetView>
    <sheetView workbookViewId="1">
      <selection sqref="A1:K1"/>
    </sheetView>
  </sheetViews>
  <sheetFormatPr baseColWidth="10" defaultColWidth="11" defaultRowHeight="16" x14ac:dyDescent="0.2"/>
  <cols>
    <col min="1" max="1" width="18.6640625" customWidth="1"/>
    <col min="2" max="2" width="17.1640625" customWidth="1"/>
    <col min="3" max="3" width="23.6640625" customWidth="1"/>
    <col min="4" max="4" width="2" customWidth="1"/>
    <col min="5" max="5" width="12.1640625" bestFit="1" customWidth="1"/>
    <col min="6" max="6" width="26.1640625" bestFit="1" customWidth="1"/>
    <col min="7" max="7" width="12.33203125" bestFit="1" customWidth="1"/>
    <col min="8" max="8" width="2" customWidth="1"/>
    <col min="9" max="9" width="16.1640625" customWidth="1"/>
    <col min="10" max="10" width="13.83203125" customWidth="1"/>
    <col min="11" max="11" width="16" customWidth="1"/>
  </cols>
  <sheetData>
    <row r="1" spans="1:11" s="73" customFormat="1" ht="24" x14ac:dyDescent="0.3">
      <c r="A1" s="1159" t="s">
        <v>0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</row>
    <row r="2" spans="1:11" ht="17" thickBot="1" x14ac:dyDescent="0.25"/>
    <row r="3" spans="1:11" x14ac:dyDescent="0.2">
      <c r="A3" s="75"/>
      <c r="B3" s="76" t="s">
        <v>1</v>
      </c>
      <c r="C3" s="77">
        <f>Anthropology!D4+Art!D4+Biology!D4+Geology!D4+Chemistry!D4+'Chicano-A Studies'!D4+Communication!D4+'Comp Sci-Mechatronics Eng'!D4+Mechatronics!D4+English!D4+ESRM!D4+'Global Languages'!D4+Spanish!D4+Hist!D4+'Black Studies'!D4+'Health Sciences'!D4+Math!D4+Philosophy!D4+Nursing!D4+'Performing Arts'!D4+'Theater Arts'!D4+Dance!D4+Music!D4+Physics!D4+'Physical Sciences'!D4+'Political Sci-Glob Studies-MPA'!D4+'Global Studies'!D4+Psychology!D4+Sociology!D4</f>
        <v>130.75</v>
      </c>
      <c r="E3" s="90"/>
      <c r="F3" s="91" t="s">
        <v>2</v>
      </c>
      <c r="G3" s="92">
        <f>Anthropology!D7+Art!D7+Biology!D7+Geology!D7+Chemistry!D7+'Chicano-A Studies'!D7+Communication!D7+'Comp Sci-Mechatronics Eng'!D7+Mechatronics!D7+English!D7+ESRM!D7+'Global Languages'!D7+Spanish!D7+Hist!D7+'Black Studies'!D7+'Health Sciences'!D7+Math!D7+Philosophy!D7+Nursing!D7+'Performing Arts'!D7+'Theater Arts'!D7+Dance!D7+Music!D7+Physics!D7+'Physical Sciences'!D7+'Political Sci-Glob Studies-MPA'!D7+'Global Studies'!D7+Psychology!D7+Sociology!D7</f>
        <v>130.75</v>
      </c>
      <c r="I3" s="180"/>
      <c r="J3" s="181" t="s">
        <v>3</v>
      </c>
      <c r="K3" s="182">
        <f>(C5+G5)/2</f>
        <v>130.75</v>
      </c>
    </row>
    <row r="4" spans="1:11" ht="17" thickBot="1" x14ac:dyDescent="0.25">
      <c r="A4" s="176"/>
      <c r="B4" s="225" t="s">
        <v>4</v>
      </c>
      <c r="C4" s="177"/>
      <c r="E4" s="103"/>
      <c r="F4" s="226" t="s">
        <v>5</v>
      </c>
      <c r="G4" s="95"/>
      <c r="I4" s="183"/>
      <c r="J4" s="184" t="s">
        <v>6</v>
      </c>
      <c r="K4" s="185">
        <f>Overview!AC34</f>
        <v>207.33280017629204</v>
      </c>
    </row>
    <row r="5" spans="1:11" ht="21" thickTop="1" thickBot="1" x14ac:dyDescent="0.3">
      <c r="A5" s="78"/>
      <c r="B5" s="79" t="s">
        <v>7</v>
      </c>
      <c r="C5" s="80">
        <f>C3-C4</f>
        <v>130.75</v>
      </c>
      <c r="E5" s="93"/>
      <c r="F5" s="94" t="s">
        <v>7</v>
      </c>
      <c r="G5" s="223">
        <f>G3-G4</f>
        <v>130.75</v>
      </c>
      <c r="I5" s="197"/>
      <c r="J5" s="198" t="s">
        <v>8</v>
      </c>
      <c r="K5" s="199">
        <f>K3/K4</f>
        <v>0.6306286313059255</v>
      </c>
    </row>
    <row r="6" spans="1:11" ht="17" thickBot="1" x14ac:dyDescent="0.25">
      <c r="A6" s="81"/>
      <c r="B6" s="82" t="s">
        <v>9</v>
      </c>
      <c r="C6" s="83">
        <f>Overview!R34</f>
        <v>216.93944018510666</v>
      </c>
      <c r="E6" s="97"/>
      <c r="F6" s="98" t="s">
        <v>10</v>
      </c>
      <c r="G6" s="99">
        <f>Overview!Z34</f>
        <v>197.72616016747742</v>
      </c>
    </row>
    <row r="7" spans="1:11" s="57" customFormat="1" ht="21" thickTop="1" thickBot="1" x14ac:dyDescent="0.3">
      <c r="A7" s="84"/>
      <c r="B7" s="85" t="s">
        <v>11</v>
      </c>
      <c r="C7" s="178">
        <f>C5/C6</f>
        <v>0.60270276298507874</v>
      </c>
      <c r="E7" s="100"/>
      <c r="F7" s="101" t="s">
        <v>12</v>
      </c>
      <c r="G7" s="102">
        <f>G5/G6</f>
        <v>0.66126808859916431</v>
      </c>
    </row>
    <row r="8" spans="1:11" ht="6.5" customHeight="1" thickBot="1" x14ac:dyDescent="0.25"/>
    <row r="9" spans="1:11" ht="20" thickBot="1" x14ac:dyDescent="0.3">
      <c r="A9" s="75"/>
      <c r="B9" s="76" t="s">
        <v>9</v>
      </c>
      <c r="C9" s="77">
        <f>C6</f>
        <v>216.93944018510666</v>
      </c>
      <c r="E9" s="90"/>
      <c r="F9" s="91" t="s">
        <v>10</v>
      </c>
      <c r="G9" s="92">
        <f>G6</f>
        <v>197.72616016747742</v>
      </c>
      <c r="I9" s="188"/>
      <c r="J9" s="189" t="s">
        <v>13</v>
      </c>
      <c r="K9" s="190">
        <f>C12+G12</f>
        <v>5399087.4124285895</v>
      </c>
    </row>
    <row r="10" spans="1:11" x14ac:dyDescent="0.2">
      <c r="A10" s="78"/>
      <c r="B10" s="79" t="s">
        <v>1</v>
      </c>
      <c r="C10" s="80">
        <f>C3</f>
        <v>130.75</v>
      </c>
      <c r="E10" s="93"/>
      <c r="F10" s="94" t="s">
        <v>2</v>
      </c>
      <c r="G10" s="96">
        <f>G3</f>
        <v>130.75</v>
      </c>
    </row>
    <row r="11" spans="1:11" ht="17" thickBot="1" x14ac:dyDescent="0.25">
      <c r="A11" s="81"/>
      <c r="B11" s="82" t="s">
        <v>14</v>
      </c>
      <c r="C11" s="83">
        <f>C9-C10</f>
        <v>86.189440185106662</v>
      </c>
      <c r="E11" s="97"/>
      <c r="F11" s="98" t="s">
        <v>15</v>
      </c>
      <c r="G11" s="99">
        <f>G9-G10</f>
        <v>66.976160167477417</v>
      </c>
    </row>
    <row r="12" spans="1:11" ht="21" thickTop="1" thickBot="1" x14ac:dyDescent="0.3">
      <c r="A12" s="84"/>
      <c r="B12" s="85" t="s">
        <v>16</v>
      </c>
      <c r="C12" s="86">
        <f>C11*15*2350</f>
        <v>3038177.7665250101</v>
      </c>
      <c r="E12" s="100"/>
      <c r="F12" s="101" t="s">
        <v>17</v>
      </c>
      <c r="G12" s="179">
        <f>G11*15*2350</f>
        <v>2360909.645903579</v>
      </c>
    </row>
    <row r="13" spans="1:11" ht="6.5" customHeight="1" thickBot="1" x14ac:dyDescent="0.25"/>
    <row r="14" spans="1:11" x14ac:dyDescent="0.2">
      <c r="A14" s="180"/>
      <c r="B14" s="181" t="s">
        <v>18</v>
      </c>
      <c r="C14" s="182">
        <f>' Dean-Dept Course Reassign Rpt'!C4</f>
        <v>12</v>
      </c>
      <c r="E14" s="75"/>
      <c r="F14" s="76" t="s">
        <v>19</v>
      </c>
      <c r="G14" s="192" t="e">
        <f>Anthropology!E52+Art!E62+Biology!E52+Geology!E52+Chemistry!E66+'Chicano-A Studies'!E52+Communication!E53+'Comp Sci-Mechatronics Eng'!E51+Mechatronics!E52+English!E51+ESRM!E52+'Global Languages'!E52+Spanish!E52+Hist!E52+'Black Studies'!E52+'Health Sciences'!E52+Math!E52+Philosophy!E52+Nursing!E51+'Performing Arts'!E52+'Theater Arts'!E52+Dance!E52+Music!E52+Physics!E54+'Physical Sciences'!E52+'Political Sci-Glob Studies-MPA'!E52+'Global Studies'!E52+Psychology!E52+Sociology!E52</f>
        <v>#N/A</v>
      </c>
      <c r="I14" s="90"/>
      <c r="J14" s="91" t="s">
        <v>20</v>
      </c>
      <c r="K14" s="195" t="e">
        <f>Anthropology!H52+Art!H62+Biology!H52+Geology!H52+Chemistry!H66+'Chicano-A Studies'!H52+Communication!H53+'Comp Sci-Mechatronics Eng'!H51+Mechatronics!H52+English!H51+ESRM!H52+'Global Languages'!H52+Spanish!H52+Hist!H52+'Black Studies'!H52+'Health Sciences'!H52+Math!H52+Philosophy!H52+Nursing!H51+'Performing Arts'!H52+'Theater Arts'!H52+Dance!H52+Music!H52+Physics!H54+'Physical Sciences'!H52+'Political Sci-Glob Studies-MPA'!H52+'Global Studies'!H52+Psychology!H52+Sociology!H52</f>
        <v>#N/A</v>
      </c>
    </row>
    <row r="15" spans="1:11" ht="17" thickBot="1" x14ac:dyDescent="0.25">
      <c r="A15" s="183"/>
      <c r="B15" s="184" t="s">
        <v>21</v>
      </c>
      <c r="C15" s="185">
        <f>'External Course Reassign Rpt'!C3+'External Course Reassign Rpt'!D3</f>
        <v>0</v>
      </c>
      <c r="E15" s="81"/>
      <c r="F15" s="82" t="s">
        <v>22</v>
      </c>
      <c r="G15" s="193">
        <f>Anthropology!E53+Art!E63+Biology!E53+Geology!E53+Chemistry!E67+'Chicano-A Studies'!E53+Communication!E54+'Comp Sci-Mechatronics Eng'!E52+Mechatronics!E53+English!E52+ESRM!E53+'Global Languages'!E53+Spanish!E53+Hist!E53+'Black Studies'!E53+'Health Sciences'!E53+Math!E53+Philosophy!E53+Nursing!E52+'Performing Arts'!E53+'Theater Arts'!E53+Dance!E53+Music!E53+Physics!E55+'Physical Sciences'!E53+'Political Sci-Glob Studies-MPA'!E53+'Global Studies'!E53+Psychology!E53+Sociology!E53</f>
        <v>2475.9499999999998</v>
      </c>
      <c r="I15" s="97"/>
      <c r="J15" s="98" t="s">
        <v>23</v>
      </c>
      <c r="K15" s="200">
        <f>Anthropology!H53+Art!H63+Biology!H53+Geology!H53+Chemistry!H67+'Chicano-A Studies'!H53+Communication!H54+'Comp Sci-Mechatronics Eng'!H52+Mechatronics!H53+English!H52+ESRM!H53+'Global Languages'!H53+Spanish!H53+Hist!H53+'Black Studies'!H53+'Health Sciences'!H53+Math!H53+Philosophy!H53+Nursing!H52+'Performing Arts'!H53+'Theater Arts'!H53+Dance!H53+Music!H53+Physics!H55+'Physical Sciences'!H53+'Political Sci-Glob Studies-MPA'!H53+'Global Studies'!H53+Psychology!H53+Sociology!H53</f>
        <v>0</v>
      </c>
    </row>
    <row r="16" spans="1:11" ht="21" thickTop="1" thickBot="1" x14ac:dyDescent="0.3">
      <c r="A16" s="186"/>
      <c r="B16" s="187" t="s">
        <v>24</v>
      </c>
      <c r="C16" s="191">
        <f>C14+C15</f>
        <v>12</v>
      </c>
      <c r="E16" s="84"/>
      <c r="F16" s="85" t="s">
        <v>25</v>
      </c>
      <c r="G16" s="194" t="e">
        <f>G15-G14</f>
        <v>#N/A</v>
      </c>
      <c r="I16" s="100"/>
      <c r="J16" s="101" t="s">
        <v>26</v>
      </c>
      <c r="K16" s="196" t="e">
        <f>K15-K14</f>
        <v>#N/A</v>
      </c>
    </row>
    <row r="17" spans="2:9" s="57" customFormat="1" ht="19" x14ac:dyDescent="0.25"/>
    <row r="18" spans="2:9" x14ac:dyDescent="0.2">
      <c r="C18" s="74"/>
    </row>
    <row r="22" spans="2:9" s="57" customFormat="1" ht="19" x14ac:dyDescent="0.25">
      <c r="E22" s="87"/>
      <c r="F22" s="88"/>
      <c r="I22" s="88"/>
    </row>
    <row r="27" spans="2:9" s="57" customFormat="1" ht="19" x14ac:dyDescent="0.25">
      <c r="E27" s="87"/>
      <c r="F27" s="89"/>
    </row>
    <row r="29" spans="2:9" s="57" customFormat="1" ht="19" x14ac:dyDescent="0.25">
      <c r="B29" s="64"/>
    </row>
    <row r="34" spans="1:3" s="57" customFormat="1" ht="19" x14ac:dyDescent="0.25">
      <c r="A34"/>
      <c r="B34"/>
      <c r="C34"/>
    </row>
    <row r="38" spans="1:3" s="57" customFormat="1" ht="19" x14ac:dyDescent="0.25">
      <c r="A38"/>
      <c r="B38" s="70"/>
      <c r="C38"/>
    </row>
    <row r="42" spans="1:3" s="57" customFormat="1" ht="19" x14ac:dyDescent="0.25">
      <c r="A42"/>
      <c r="B42"/>
      <c r="C42"/>
    </row>
  </sheetData>
  <mergeCells count="1">
    <mergeCell ref="A1:K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0CC8-108A-4A8F-9801-3B22F7F90F50}">
  <sheetPr>
    <tabColor rgb="FF000000"/>
  </sheetPr>
  <dimension ref="A1:N67"/>
  <sheetViews>
    <sheetView topLeftCell="A18" workbookViewId="0">
      <selection activeCell="H50" sqref="H50"/>
    </sheetView>
    <sheetView topLeftCell="B27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8.5" customWidth="1"/>
    <col min="4" max="4" width="22.6640625" customWidth="1"/>
    <col min="5" max="5" width="16.33203125" customWidth="1"/>
    <col min="6" max="6" width="19.6640625" customWidth="1"/>
    <col min="7" max="7" width="15.6640625" customWidth="1"/>
    <col min="8" max="8" width="13.33203125" customWidth="1"/>
    <col min="9" max="9" width="14.6640625" customWidth="1"/>
    <col min="10" max="10" width="40.83203125" bestFit="1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55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88.62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5.680769230769231</v>
      </c>
    </row>
    <row r="7" spans="1:10" x14ac:dyDescent="0.2">
      <c r="B7" s="1180" t="s">
        <v>186</v>
      </c>
      <c r="C7" s="16" t="s">
        <v>187</v>
      </c>
      <c r="D7" s="173">
        <v>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80.180000000000007</v>
      </c>
    </row>
    <row r="9" spans="1:10" ht="17" thickBot="1" x14ac:dyDescent="0.25">
      <c r="B9" s="1182"/>
      <c r="C9" s="19" t="s">
        <v>10</v>
      </c>
      <c r="D9" s="20">
        <f>VLOOKUP($D$2,Overview!$A$4:$AC$31,26,0)</f>
        <v>5.1397435897435901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852" t="s">
        <v>196</v>
      </c>
      <c r="E20" s="852" t="s">
        <v>43</v>
      </c>
      <c r="F20" s="852" t="s">
        <v>197</v>
      </c>
      <c r="G20" s="853" t="s">
        <v>196</v>
      </c>
      <c r="H20" s="853" t="s">
        <v>198</v>
      </c>
      <c r="I20" s="854" t="s">
        <v>197</v>
      </c>
      <c r="J20" s="358" t="s">
        <v>199</v>
      </c>
    </row>
    <row r="21" spans="2:10" x14ac:dyDescent="0.2">
      <c r="B21" s="34">
        <v>1</v>
      </c>
      <c r="C21" s="271" t="s">
        <v>437</v>
      </c>
      <c r="D21" s="121">
        <v>6</v>
      </c>
      <c r="E21" s="121"/>
      <c r="F21" s="121">
        <v>3</v>
      </c>
      <c r="G21" s="126">
        <v>6</v>
      </c>
      <c r="H21" s="126"/>
      <c r="I21" s="126"/>
      <c r="J21" s="855" t="s">
        <v>438</v>
      </c>
    </row>
    <row r="22" spans="2:10" x14ac:dyDescent="0.2">
      <c r="B22" s="36">
        <v>2</v>
      </c>
      <c r="C22" s="271" t="s">
        <v>439</v>
      </c>
      <c r="D22" s="121"/>
      <c r="E22" s="121">
        <v>3</v>
      </c>
      <c r="F22" s="121"/>
      <c r="G22" s="126"/>
      <c r="H22" s="126"/>
      <c r="I22" s="126">
        <v>12</v>
      </c>
      <c r="J22" s="855" t="s">
        <v>440</v>
      </c>
    </row>
    <row r="23" spans="2:10" x14ac:dyDescent="0.2">
      <c r="B23" s="36">
        <v>3</v>
      </c>
      <c r="C23" s="271" t="s">
        <v>441</v>
      </c>
      <c r="D23" s="121"/>
      <c r="E23" s="121"/>
      <c r="F23" s="121">
        <v>3</v>
      </c>
      <c r="G23" s="126"/>
      <c r="H23" s="126"/>
      <c r="I23" s="126">
        <v>3</v>
      </c>
      <c r="J23" s="855" t="s">
        <v>442</v>
      </c>
    </row>
    <row r="24" spans="2:10" x14ac:dyDescent="0.2">
      <c r="B24" s="36">
        <v>4</v>
      </c>
      <c r="C24" s="819" t="s">
        <v>443</v>
      </c>
      <c r="D24" s="121"/>
      <c r="E24" s="121">
        <v>3</v>
      </c>
      <c r="F24" s="121">
        <v>3</v>
      </c>
      <c r="G24" s="126"/>
      <c r="H24" s="126">
        <v>3</v>
      </c>
      <c r="I24" s="126">
        <v>3</v>
      </c>
      <c r="J24" s="855" t="s">
        <v>444</v>
      </c>
    </row>
    <row r="25" spans="2:10" x14ac:dyDescent="0.2">
      <c r="B25" s="36">
        <v>5</v>
      </c>
      <c r="C25" s="819" t="s">
        <v>445</v>
      </c>
      <c r="D25" s="121"/>
      <c r="E25" s="121">
        <v>3</v>
      </c>
      <c r="F25" s="121">
        <v>3</v>
      </c>
      <c r="G25" s="126"/>
      <c r="H25" s="126">
        <v>3</v>
      </c>
      <c r="I25" s="126">
        <v>3</v>
      </c>
      <c r="J25" s="855" t="s">
        <v>444</v>
      </c>
    </row>
    <row r="26" spans="2:10" x14ac:dyDescent="0.2">
      <c r="B26" s="36">
        <v>6</v>
      </c>
      <c r="C26" s="156"/>
      <c r="D26" s="121"/>
      <c r="E26" s="121"/>
      <c r="F26" s="121"/>
      <c r="G26" s="126"/>
      <c r="H26" s="126"/>
      <c r="I26" s="126"/>
      <c r="J26" s="855"/>
    </row>
    <row r="27" spans="2:10" x14ac:dyDescent="0.2">
      <c r="B27" s="36">
        <v>7</v>
      </c>
      <c r="D27" s="121"/>
      <c r="E27" s="121">
        <v>3</v>
      </c>
      <c r="F27" s="121"/>
      <c r="G27" s="126"/>
      <c r="H27" s="126"/>
      <c r="I27" s="126"/>
      <c r="J27" s="855" t="s">
        <v>446</v>
      </c>
    </row>
    <row r="28" spans="2:10" hidden="1" x14ac:dyDescent="0.2">
      <c r="B28" s="36">
        <v>8</v>
      </c>
      <c r="D28" s="121"/>
      <c r="E28" s="121"/>
      <c r="F28" s="121"/>
      <c r="G28" s="122"/>
      <c r="H28" s="122"/>
      <c r="I28" s="122"/>
      <c r="J28" s="38"/>
    </row>
    <row r="29" spans="2:10" hidden="1" x14ac:dyDescent="0.2">
      <c r="B29" s="36">
        <v>9</v>
      </c>
      <c r="D29" s="121"/>
      <c r="E29" s="121"/>
      <c r="F29" s="121"/>
      <c r="G29" s="122"/>
      <c r="H29" s="122"/>
      <c r="I29" s="122"/>
      <c r="J29" s="38"/>
    </row>
    <row r="30" spans="2:10" hidden="1" x14ac:dyDescent="0.2">
      <c r="B30" s="36">
        <v>10</v>
      </c>
      <c r="D30" s="121"/>
      <c r="E30" s="121"/>
      <c r="F30" s="121"/>
      <c r="G30" s="122"/>
      <c r="H30" s="122"/>
      <c r="I30" s="122"/>
      <c r="J30" s="38"/>
    </row>
    <row r="31" spans="2:10" hidden="1" x14ac:dyDescent="0.2">
      <c r="B31" s="36">
        <v>11</v>
      </c>
      <c r="D31" s="121"/>
      <c r="E31" s="121"/>
      <c r="F31" s="121"/>
      <c r="G31" s="122"/>
      <c r="H31" s="122"/>
      <c r="I31" s="122"/>
      <c r="J31" s="38"/>
    </row>
    <row r="32" spans="2:10" hidden="1" x14ac:dyDescent="0.2">
      <c r="B32" s="36">
        <v>12</v>
      </c>
      <c r="D32" s="121"/>
      <c r="E32" s="121"/>
      <c r="F32" s="121"/>
      <c r="G32" s="122"/>
      <c r="H32" s="122"/>
      <c r="I32" s="122"/>
      <c r="J32" s="38"/>
    </row>
    <row r="33" spans="2:10" hidden="1" x14ac:dyDescent="0.2">
      <c r="B33" s="36">
        <v>13</v>
      </c>
      <c r="D33" s="121"/>
      <c r="E33" s="121"/>
      <c r="F33" s="121"/>
      <c r="G33" s="122"/>
      <c r="H33" s="122"/>
      <c r="I33" s="122"/>
      <c r="J33" s="38"/>
    </row>
    <row r="34" spans="2:10" hidden="1" x14ac:dyDescent="0.2">
      <c r="B34" s="36">
        <v>14</v>
      </c>
      <c r="D34" s="121"/>
      <c r="E34" s="121"/>
      <c r="F34" s="121"/>
      <c r="G34" s="122"/>
      <c r="H34" s="122"/>
      <c r="I34" s="122"/>
      <c r="J34" s="38"/>
    </row>
    <row r="35" spans="2:10" hidden="1" x14ac:dyDescent="0.2">
      <c r="B35" s="36">
        <v>15</v>
      </c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6</v>
      </c>
      <c r="E37" s="128">
        <f t="shared" si="0"/>
        <v>12</v>
      </c>
      <c r="F37" s="128">
        <f t="shared" si="0"/>
        <v>12</v>
      </c>
      <c r="G37" s="129">
        <f t="shared" si="0"/>
        <v>6</v>
      </c>
      <c r="H37" s="129">
        <f t="shared" si="0"/>
        <v>6</v>
      </c>
      <c r="I37" s="129">
        <f t="shared" si="0"/>
        <v>21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909">
        <f>SUM(D40:D43)</f>
        <v>0</v>
      </c>
      <c r="E44" s="909">
        <f>SUM(E40:E43)</f>
        <v>0</v>
      </c>
      <c r="F44" s="909">
        <f>SUM(F40:F43)</f>
        <v>0</v>
      </c>
      <c r="G44" s="129">
        <f>SUM(G40:G43)</f>
        <v>0</v>
      </c>
      <c r="H44" s="129">
        <f t="shared" ref="H44:I44" si="1">SUM(H40:H43)</f>
        <v>0</v>
      </c>
      <c r="I44" s="129">
        <f t="shared" si="1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>SUM(E47:H47)</f>
        <v>57</v>
      </c>
      <c r="D47" s="58" t="s">
        <v>217</v>
      </c>
      <c r="E47" s="224">
        <f>($D$4*12)-$E$37-$F$37-$D$37</f>
        <v>30</v>
      </c>
      <c r="H47" s="111">
        <f>($D$7*12)-$H$37-$I$37-$G$37</f>
        <v>27</v>
      </c>
      <c r="J47" s="1185" t="s">
        <v>386</v>
      </c>
    </row>
    <row r="48" spans="2:10" s="57" customFormat="1" ht="19" x14ac:dyDescent="0.25">
      <c r="B48" s="231">
        <f>SUM(E48:H48)</f>
        <v>51</v>
      </c>
      <c r="C48" s="58"/>
      <c r="D48" s="58" t="s">
        <v>218</v>
      </c>
      <c r="E48" s="224">
        <f>$E$37+$F$37</f>
        <v>24</v>
      </c>
      <c r="H48" s="111">
        <f>$H$37+$I$37</f>
        <v>27</v>
      </c>
      <c r="J48" s="1185"/>
    </row>
    <row r="49" spans="2:14" s="57" customFormat="1" ht="19" x14ac:dyDescent="0.25">
      <c r="B49" s="231">
        <f>SUM(E49:H49)</f>
        <v>12.307692307692317</v>
      </c>
      <c r="C49" s="58"/>
      <c r="D49" s="58" t="s">
        <v>219</v>
      </c>
      <c r="E49" s="224">
        <f>(($D$6-$D$4)*15)-D44</f>
        <v>10.211538461538465</v>
      </c>
      <c r="H49" s="111">
        <f>(($D$9-$D$7)*15)-$G$44</f>
        <v>2.096153846153852</v>
      </c>
      <c r="J49" s="1185"/>
    </row>
    <row r="50" spans="2:14" s="57" customFormat="1" ht="20" thickBot="1" x14ac:dyDescent="0.3">
      <c r="B50" s="230">
        <f>SUM(E50:H50)</f>
        <v>120.30769230769232</v>
      </c>
      <c r="C50" s="59"/>
      <c r="D50" s="59" t="s">
        <v>220</v>
      </c>
      <c r="E50" s="106">
        <f>SUM(E47:E49)</f>
        <v>64.211538461538467</v>
      </c>
      <c r="H50" s="112">
        <f>SUM(H47:H49)</f>
        <v>56.096153846153854</v>
      </c>
      <c r="J50" s="1185"/>
    </row>
    <row r="51" spans="2:14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4" s="57" customFormat="1" ht="20" thickBot="1" x14ac:dyDescent="0.3">
      <c r="D52" s="63" t="s">
        <v>222</v>
      </c>
      <c r="E52" s="108">
        <f>SUM(E50:E51)</f>
        <v>64.211538461538467</v>
      </c>
      <c r="G52" s="63"/>
      <c r="H52" s="114">
        <f>SUM(H50:H51)</f>
        <v>56.096153846153854</v>
      </c>
      <c r="I52" s="64"/>
      <c r="J52" s="1185"/>
    </row>
    <row r="53" spans="2:14" s="57" customFormat="1" ht="19" x14ac:dyDescent="0.25">
      <c r="D53" s="201" t="s">
        <v>278</v>
      </c>
      <c r="E53" s="202">
        <v>60</v>
      </c>
      <c r="F53" s="383" t="s">
        <v>224</v>
      </c>
      <c r="G53" s="204"/>
      <c r="H53" s="115"/>
      <c r="I53" s="66"/>
      <c r="J53" s="1185"/>
    </row>
    <row r="54" spans="2:14" s="57" customFormat="1" ht="19" x14ac:dyDescent="0.25">
      <c r="D54" s="71" t="s">
        <v>225</v>
      </c>
      <c r="E54" s="109">
        <f>E53-E52</f>
        <v>-4.211538461538467</v>
      </c>
      <c r="G54" s="65"/>
      <c r="H54" s="116">
        <f>H53-H52</f>
        <v>-56.096153846153854</v>
      </c>
      <c r="I54" s="66"/>
      <c r="J54" s="1185"/>
    </row>
    <row r="55" spans="2:14" s="57" customFormat="1" ht="20" thickBot="1" x14ac:dyDescent="0.3">
      <c r="D55" s="66" t="s">
        <v>226</v>
      </c>
      <c r="E55" s="105">
        <f>IFERROR(($D$5*5)/(E52/3),0)</f>
        <v>20.701886792452829</v>
      </c>
      <c r="H55" s="117">
        <f>IFERROR(5*$D$8/(H52/3),0)</f>
        <v>21.439972574562905</v>
      </c>
      <c r="J55" s="1186"/>
    </row>
    <row r="56" spans="2:14" x14ac:dyDescent="0.2">
      <c r="D56" t="s">
        <v>227</v>
      </c>
      <c r="E56" s="152">
        <f>+$E$49+$E$48+$H$48+$H$49+$D$44+$E$44+$F$44+$G$44+$H$44+$I$44</f>
        <v>63.307692307692321</v>
      </c>
      <c r="F56" s="11" t="s">
        <v>228</v>
      </c>
    </row>
    <row r="57" spans="2:14" x14ac:dyDescent="0.2">
      <c r="E57" s="952">
        <f>E56*2507</f>
        <v>158712.38461538465</v>
      </c>
    </row>
    <row r="59" spans="2:14" ht="68" x14ac:dyDescent="0.25">
      <c r="B59" s="579" t="s">
        <v>279</v>
      </c>
      <c r="C59" s="456" t="s">
        <v>230</v>
      </c>
      <c r="D59" s="457" t="s">
        <v>280</v>
      </c>
      <c r="E59" s="458" t="s">
        <v>234</v>
      </c>
      <c r="F59" s="456" t="s">
        <v>235</v>
      </c>
      <c r="G59" s="459" t="s">
        <v>236</v>
      </c>
      <c r="H59" s="459" t="s">
        <v>237</v>
      </c>
      <c r="I59" s="459" t="s">
        <v>238</v>
      </c>
      <c r="J59" s="458" t="s">
        <v>447</v>
      </c>
      <c r="K59" s="458" t="s">
        <v>281</v>
      </c>
      <c r="L59" s="458" t="s">
        <v>282</v>
      </c>
      <c r="M59" s="458" t="s">
        <v>243</v>
      </c>
      <c r="N59" s="460" t="s">
        <v>244</v>
      </c>
    </row>
    <row r="60" spans="2:14" ht="17" x14ac:dyDescent="0.25">
      <c r="C60" s="461" t="s">
        <v>448</v>
      </c>
      <c r="D60" s="567" t="s">
        <v>287</v>
      </c>
      <c r="E60" s="464" t="s">
        <v>252</v>
      </c>
      <c r="F60" s="461" t="s">
        <v>248</v>
      </c>
      <c r="G60" s="465">
        <v>3</v>
      </c>
      <c r="H60" s="465">
        <v>1</v>
      </c>
      <c r="I60" s="461" t="s">
        <v>363</v>
      </c>
      <c r="J60" s="528">
        <v>18</v>
      </c>
      <c r="K60" s="528">
        <v>24</v>
      </c>
      <c r="L60" s="463"/>
      <c r="M60" s="568"/>
      <c r="N60" s="351" t="s">
        <v>249</v>
      </c>
    </row>
    <row r="61" spans="2:14" ht="17" x14ac:dyDescent="0.25">
      <c r="C61" s="461" t="s">
        <v>449</v>
      </c>
      <c r="D61" s="462" t="s">
        <v>300</v>
      </c>
      <c r="E61" s="464" t="s">
        <v>247</v>
      </c>
      <c r="F61" s="461" t="s">
        <v>248</v>
      </c>
      <c r="G61" s="465" t="s">
        <v>301</v>
      </c>
      <c r="H61" s="465">
        <v>2</v>
      </c>
      <c r="I61" s="461"/>
      <c r="J61" s="528">
        <v>18</v>
      </c>
      <c r="K61" s="528">
        <v>21</v>
      </c>
      <c r="L61" s="463"/>
      <c r="M61" s="568"/>
      <c r="N61" s="351" t="s">
        <v>450</v>
      </c>
    </row>
    <row r="62" spans="2:14" ht="17" x14ac:dyDescent="0.25">
      <c r="C62" s="461" t="s">
        <v>451</v>
      </c>
      <c r="D62" s="462" t="s">
        <v>300</v>
      </c>
      <c r="E62" s="464" t="s">
        <v>252</v>
      </c>
      <c r="F62" s="461" t="s">
        <v>248</v>
      </c>
      <c r="G62" s="465" t="s">
        <v>301</v>
      </c>
      <c r="H62" s="465">
        <v>2</v>
      </c>
      <c r="I62" s="461" t="s">
        <v>452</v>
      </c>
      <c r="J62" s="528">
        <v>12</v>
      </c>
      <c r="K62" s="528">
        <v>6</v>
      </c>
      <c r="L62" s="463"/>
      <c r="M62" s="568"/>
      <c r="N62" s="351" t="s">
        <v>453</v>
      </c>
    </row>
    <row r="63" spans="2:14" ht="17" x14ac:dyDescent="0.25">
      <c r="C63" s="461" t="s">
        <v>454</v>
      </c>
      <c r="D63" s="462" t="s">
        <v>300</v>
      </c>
      <c r="E63" s="464" t="s">
        <v>252</v>
      </c>
      <c r="F63" s="461" t="s">
        <v>248</v>
      </c>
      <c r="G63" s="465" t="s">
        <v>301</v>
      </c>
      <c r="H63" s="465">
        <v>2</v>
      </c>
      <c r="I63" s="461"/>
      <c r="J63" s="528">
        <v>0</v>
      </c>
      <c r="K63" s="528">
        <v>6</v>
      </c>
      <c r="L63" s="37"/>
      <c r="M63" s="568"/>
      <c r="N63" s="351" t="s">
        <v>359</v>
      </c>
    </row>
    <row r="64" spans="2:14" ht="34" x14ac:dyDescent="0.25">
      <c r="C64" s="535" t="s">
        <v>455</v>
      </c>
      <c r="D64" s="569" t="s">
        <v>310</v>
      </c>
      <c r="E64" s="570" t="s">
        <v>247</v>
      </c>
      <c r="F64" s="535" t="s">
        <v>248</v>
      </c>
      <c r="G64" s="571" t="s">
        <v>311</v>
      </c>
      <c r="H64" s="571">
        <v>2</v>
      </c>
      <c r="I64" s="537" t="s">
        <v>456</v>
      </c>
      <c r="J64" s="538">
        <v>0</v>
      </c>
      <c r="K64" s="538">
        <v>0</v>
      </c>
      <c r="L64" s="572"/>
      <c r="M64" s="573"/>
      <c r="N64" s="574" t="s">
        <v>430</v>
      </c>
    </row>
    <row r="65" spans="2:14" ht="17" x14ac:dyDescent="0.25">
      <c r="C65" s="471" t="s">
        <v>457</v>
      </c>
      <c r="D65" s="476"/>
      <c r="E65" s="478"/>
      <c r="F65" s="471"/>
      <c r="G65" s="479"/>
      <c r="H65" s="479"/>
      <c r="I65" s="575" t="s">
        <v>321</v>
      </c>
      <c r="J65" s="576"/>
      <c r="K65" s="576"/>
      <c r="L65" s="477"/>
      <c r="M65" s="577"/>
      <c r="N65" s="578"/>
    </row>
    <row r="66" spans="2:14" ht="17" x14ac:dyDescent="0.25">
      <c r="C66" s="471" t="s">
        <v>458</v>
      </c>
      <c r="D66" s="476"/>
      <c r="E66" s="478"/>
      <c r="F66" s="471"/>
      <c r="G66" s="479"/>
      <c r="H66" s="479"/>
      <c r="I66" s="471" t="s">
        <v>321</v>
      </c>
      <c r="J66" s="576"/>
      <c r="K66" s="576"/>
      <c r="L66" s="477"/>
      <c r="M66" s="577"/>
      <c r="N66" s="578"/>
    </row>
    <row r="67" spans="2:14" x14ac:dyDescent="0.2">
      <c r="B67" s="268"/>
      <c r="K67" s="268"/>
    </row>
  </sheetData>
  <sheetProtection algorithmName="SHA-512" hashValue="OOU+iL8LAFYGJiT2UucCLnxco8VaJfRAM+r3FEs6U8FYVni3poTmk8Wo+ECL02zqgDEm7T1kpYhuS85KQRSLcw==" saltValue="6hD8rDLXmU2xW10xrWAQqA==" spinCount="100000" sheet="1" objects="1" scenarios="1"/>
  <sortState xmlns:xlrd2="http://schemas.microsoft.com/office/spreadsheetml/2017/richdata2" ref="C21:J23">
    <sortCondition ref="C21:C23"/>
  </sortState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6CE303-CCC9-482B-976F-14B413D89BBB}">
          <x14:formula1>
            <xm:f>'Data Elements'!$F$3:$F$31</xm:f>
          </x14:formula1>
          <xm:sqref>D2</xm:sqref>
        </x14:dataValidation>
        <x14:dataValidation type="list" allowBlank="1" showInputMessage="1" showErrorMessage="1" xr:uid="{79A3CF01-9854-4D30-A4C4-258EA50806C0}">
          <x14:formula1>
            <xm:f>'Data Elements'!$A$3:$A$179</xm:f>
          </x14:formula1>
          <xm:sqref>C21:C23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EE6C-AAA4-4A34-AAB4-88E596FE1306}">
  <sheetPr>
    <tabColor rgb="FF000000"/>
  </sheetPr>
  <dimension ref="A1:R75"/>
  <sheetViews>
    <sheetView topLeftCell="A34" workbookViewId="0">
      <selection activeCell="H50" sqref="H50"/>
    </sheetView>
    <sheetView topLeftCell="D32" workbookViewId="1">
      <selection activeCell="F55" sqref="F55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4.1640625" customWidth="1"/>
    <col min="4" max="4" width="22.6640625" customWidth="1"/>
    <col min="5" max="9" width="19.6640625" customWidth="1"/>
    <col min="10" max="10" width="41.6640625" customWidth="1"/>
    <col min="11" max="11" width="10.6640625" style="1060"/>
    <col min="12" max="12" width="39.5" style="1060" customWidth="1"/>
    <col min="13" max="14" width="10.6640625" style="1060"/>
  </cols>
  <sheetData>
    <row r="1" spans="1:14" s="7" customFormat="1" ht="21" x14ac:dyDescent="0.25">
      <c r="A1" s="7" t="s">
        <v>179</v>
      </c>
      <c r="B1" s="884"/>
      <c r="H1" t="s">
        <v>180</v>
      </c>
      <c r="I1" s="886">
        <v>24</v>
      </c>
      <c r="K1" s="1058"/>
      <c r="L1" s="1058"/>
      <c r="M1" s="1058"/>
      <c r="N1" s="1058"/>
    </row>
    <row r="2" spans="1:14" s="9" customFormat="1" ht="24" x14ac:dyDescent="0.3">
      <c r="A2" s="1176" t="s">
        <v>181</v>
      </c>
      <c r="B2" s="1176"/>
      <c r="C2" s="1176"/>
      <c r="D2" s="8" t="s">
        <v>56</v>
      </c>
      <c r="K2" s="1059"/>
      <c r="L2" s="1059"/>
      <c r="M2" s="1059"/>
      <c r="N2" s="1059"/>
    </row>
    <row r="3" spans="1:14" ht="6" customHeight="1" thickBot="1" x14ac:dyDescent="0.25"/>
    <row r="4" spans="1:14" x14ac:dyDescent="0.2">
      <c r="B4" s="1177" t="s">
        <v>182</v>
      </c>
      <c r="C4" s="10" t="s">
        <v>183</v>
      </c>
      <c r="D4" s="173">
        <v>7</v>
      </c>
      <c r="E4" s="155" t="s">
        <v>184</v>
      </c>
      <c r="G4" s="297"/>
    </row>
    <row r="5" spans="1:14" x14ac:dyDescent="0.2">
      <c r="B5" s="1178"/>
      <c r="C5" s="12" t="s">
        <v>185</v>
      </c>
      <c r="D5" s="13">
        <f>VLOOKUP($D$2,Overview!$A$4:$AC$31,20,0)</f>
        <v>156.45000000000002</v>
      </c>
      <c r="E5" s="11"/>
      <c r="G5" s="297"/>
    </row>
    <row r="6" spans="1:14" x14ac:dyDescent="0.2">
      <c r="B6" s="1179"/>
      <c r="C6" s="14" t="s">
        <v>9</v>
      </c>
      <c r="D6" s="15">
        <f>VLOOKUP($D$2,Overview!$A$4:$AC$31,18,0)</f>
        <v>8.2342105263157901</v>
      </c>
      <c r="G6" s="297"/>
    </row>
    <row r="7" spans="1:14" x14ac:dyDescent="0.2">
      <c r="B7" s="1180" t="s">
        <v>186</v>
      </c>
      <c r="C7" s="16" t="s">
        <v>187</v>
      </c>
      <c r="D7" s="173">
        <v>7</v>
      </c>
      <c r="E7" s="155" t="s">
        <v>184</v>
      </c>
      <c r="G7" s="297"/>
    </row>
    <row r="8" spans="1:14" x14ac:dyDescent="0.2">
      <c r="B8" s="1181"/>
      <c r="C8" s="17" t="s">
        <v>188</v>
      </c>
      <c r="D8" s="18">
        <f>VLOOKUP($D$2,Overview!$A$4:$AC$31,28,0)</f>
        <v>141.54999999999998</v>
      </c>
      <c r="G8" s="297"/>
    </row>
    <row r="9" spans="1:14" x14ac:dyDescent="0.2">
      <c r="B9" s="1182"/>
      <c r="C9" s="19" t="s">
        <v>10</v>
      </c>
      <c r="D9" s="20">
        <f>VLOOKUP($D$2,Overview!$A$4:$AC$31,26,0)</f>
        <v>7.4499999999999993</v>
      </c>
      <c r="G9" s="298"/>
    </row>
    <row r="10" spans="1:14" x14ac:dyDescent="0.2">
      <c r="B10" s="151"/>
      <c r="C10" s="70"/>
      <c r="D10" s="152"/>
      <c r="G10" s="298"/>
    </row>
    <row r="11" spans="1:14" x14ac:dyDescent="0.2">
      <c r="C11" s="151"/>
      <c r="D11" s="152"/>
    </row>
    <row r="12" spans="1:14" x14ac:dyDescent="0.2">
      <c r="C12" s="151"/>
      <c r="D12" s="152"/>
    </row>
    <row r="13" spans="1:14" ht="18.5" customHeight="1" x14ac:dyDescent="0.2"/>
    <row r="14" spans="1:14" ht="18.5" customHeight="1" thickBot="1" x14ac:dyDescent="0.25">
      <c r="C14" s="154"/>
    </row>
    <row r="15" spans="1:14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4" ht="19" x14ac:dyDescent="0.25">
      <c r="B16" s="24"/>
      <c r="C16" s="155" t="s">
        <v>190</v>
      </c>
      <c r="J16" s="25"/>
    </row>
    <row r="17" spans="2:14" ht="16.25" customHeight="1" x14ac:dyDescent="0.2">
      <c r="B17" s="156"/>
      <c r="C17" s="155" t="s">
        <v>191</v>
      </c>
      <c r="J17" s="25"/>
    </row>
    <row r="18" spans="2:14" ht="16.25" customHeight="1" x14ac:dyDescent="0.2">
      <c r="B18" s="156"/>
      <c r="C18" s="155" t="s">
        <v>192</v>
      </c>
      <c r="J18" s="25"/>
    </row>
    <row r="19" spans="2:14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  <c r="K19" s="1059"/>
      <c r="L19" s="1059"/>
      <c r="M19" s="1059"/>
      <c r="N19" s="1059"/>
    </row>
    <row r="20" spans="2:14" s="1" customFormat="1" x14ac:dyDescent="0.2">
      <c r="B20" s="29"/>
      <c r="C20" s="879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  <c r="K20" s="1059" t="s">
        <v>459</v>
      </c>
      <c r="L20" s="1059" t="s">
        <v>460</v>
      </c>
      <c r="M20" s="1059"/>
      <c r="N20" s="1059"/>
    </row>
    <row r="21" spans="2:14" x14ac:dyDescent="0.2">
      <c r="B21" s="877">
        <v>1</v>
      </c>
      <c r="C21" s="876" t="s">
        <v>461</v>
      </c>
      <c r="D21" s="878"/>
      <c r="E21" s="118"/>
      <c r="F21" s="118"/>
      <c r="G21" s="119"/>
      <c r="H21" s="119"/>
      <c r="I21" s="120"/>
      <c r="J21" s="35"/>
    </row>
    <row r="22" spans="2:14" ht="31.5" customHeight="1" x14ac:dyDescent="0.2">
      <c r="B22" s="284">
        <v>2</v>
      </c>
      <c r="C22" s="876" t="s">
        <v>462</v>
      </c>
      <c r="D22" s="285"/>
      <c r="E22" s="998">
        <v>3</v>
      </c>
      <c r="F22" s="998">
        <v>3</v>
      </c>
      <c r="G22" s="122"/>
      <c r="H22" s="122">
        <v>3</v>
      </c>
      <c r="I22" s="122"/>
      <c r="J22" s="339" t="s">
        <v>463</v>
      </c>
      <c r="K22" s="1061">
        <v>1573105</v>
      </c>
      <c r="L22" s="1062" t="s">
        <v>464</v>
      </c>
      <c r="M22" s="1062"/>
    </row>
    <row r="23" spans="2:14" x14ac:dyDescent="0.2">
      <c r="B23" s="284">
        <v>3</v>
      </c>
      <c r="C23" s="876" t="s">
        <v>465</v>
      </c>
      <c r="D23" s="285"/>
      <c r="E23" s="121"/>
      <c r="F23" s="121"/>
      <c r="G23" s="122"/>
      <c r="H23" s="122"/>
      <c r="I23" s="122"/>
      <c r="J23" s="38"/>
    </row>
    <row r="24" spans="2:14" x14ac:dyDescent="0.2">
      <c r="B24" s="877">
        <v>4</v>
      </c>
      <c r="C24" s="902" t="s">
        <v>466</v>
      </c>
      <c r="D24" s="1057">
        <v>6</v>
      </c>
      <c r="E24" s="121"/>
      <c r="F24" s="121"/>
      <c r="G24" s="122">
        <v>6</v>
      </c>
      <c r="H24" s="122"/>
      <c r="I24" s="122"/>
      <c r="J24" s="38" t="s">
        <v>201</v>
      </c>
      <c r="K24" s="1060">
        <v>1370136</v>
      </c>
      <c r="L24" s="1060" t="s">
        <v>467</v>
      </c>
    </row>
    <row r="25" spans="2:14" x14ac:dyDescent="0.2">
      <c r="B25" s="284">
        <v>5</v>
      </c>
      <c r="C25" s="876" t="s">
        <v>468</v>
      </c>
      <c r="D25" s="285"/>
      <c r="E25" s="121"/>
      <c r="F25" s="998">
        <v>6</v>
      </c>
      <c r="G25" s="122"/>
      <c r="H25" s="122"/>
      <c r="I25" s="122">
        <v>6</v>
      </c>
      <c r="J25" s="38" t="s">
        <v>469</v>
      </c>
      <c r="K25" s="1063">
        <v>2151423</v>
      </c>
      <c r="L25" s="1060" t="s">
        <v>470</v>
      </c>
    </row>
    <row r="26" spans="2:14" x14ac:dyDescent="0.2">
      <c r="B26" s="284">
        <v>6</v>
      </c>
      <c r="C26" s="876" t="s">
        <v>471</v>
      </c>
      <c r="D26" s="285"/>
      <c r="E26" s="121"/>
      <c r="F26" s="998">
        <v>6</v>
      </c>
      <c r="G26" s="122"/>
      <c r="H26" s="122"/>
      <c r="I26" s="122">
        <v>9</v>
      </c>
      <c r="J26" s="38" t="s">
        <v>472</v>
      </c>
      <c r="K26" s="1063">
        <v>1202020</v>
      </c>
      <c r="L26" s="1060" t="s">
        <v>473</v>
      </c>
    </row>
    <row r="27" spans="2:14" x14ac:dyDescent="0.2">
      <c r="B27" s="877">
        <v>7</v>
      </c>
      <c r="C27" s="876" t="s">
        <v>474</v>
      </c>
      <c r="D27" s="285"/>
      <c r="E27" s="121"/>
      <c r="F27" s="121"/>
      <c r="G27" s="122"/>
      <c r="H27" s="122"/>
      <c r="I27" s="122">
        <v>3</v>
      </c>
      <c r="J27" s="38" t="s">
        <v>475</v>
      </c>
    </row>
    <row r="28" spans="2:14" x14ac:dyDescent="0.2">
      <c r="B28" s="284">
        <v>8</v>
      </c>
      <c r="C28" s="351"/>
      <c r="D28" s="285"/>
      <c r="E28" s="121">
        <v>3</v>
      </c>
      <c r="F28" s="121"/>
      <c r="G28" s="122"/>
      <c r="H28" s="122"/>
      <c r="I28" s="122"/>
      <c r="J28" s="38" t="s">
        <v>476</v>
      </c>
    </row>
    <row r="29" spans="2:14" x14ac:dyDescent="0.2">
      <c r="B29" s="284">
        <v>9</v>
      </c>
      <c r="C29" s="351"/>
      <c r="D29" s="285"/>
      <c r="E29" s="121"/>
      <c r="F29" s="121"/>
      <c r="G29" s="122"/>
      <c r="H29" s="122"/>
      <c r="I29" s="122"/>
      <c r="J29" s="38"/>
    </row>
    <row r="30" spans="2:14" x14ac:dyDescent="0.2">
      <c r="B30" s="877">
        <v>10</v>
      </c>
      <c r="C30" s="351"/>
      <c r="D30" s="285"/>
      <c r="E30" s="121"/>
      <c r="F30" s="121"/>
      <c r="G30" s="122"/>
      <c r="H30" s="122"/>
      <c r="I30" s="122"/>
      <c r="J30" s="38"/>
    </row>
    <row r="31" spans="2:14" x14ac:dyDescent="0.2">
      <c r="B31" s="284">
        <v>11</v>
      </c>
      <c r="C31" s="351"/>
      <c r="D31" s="285"/>
      <c r="E31" s="121"/>
      <c r="F31" s="121"/>
      <c r="G31" s="122"/>
      <c r="H31" s="122"/>
      <c r="I31" s="122"/>
      <c r="J31" s="38"/>
    </row>
    <row r="32" spans="2:14" x14ac:dyDescent="0.2">
      <c r="B32" s="284">
        <v>12</v>
      </c>
      <c r="C32" s="880"/>
      <c r="D32" s="121"/>
      <c r="E32" s="121"/>
      <c r="F32" s="121"/>
      <c r="G32" s="122"/>
      <c r="H32" s="122"/>
      <c r="I32" s="122"/>
      <c r="J32" s="38"/>
    </row>
    <row r="33" spans="2:14" x14ac:dyDescent="0.2">
      <c r="B33" s="877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4" x14ac:dyDescent="0.2">
      <c r="B34" s="284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4" x14ac:dyDescent="0.2">
      <c r="B35" s="284">
        <v>15</v>
      </c>
      <c r="C35" s="40"/>
      <c r="D35" s="123"/>
      <c r="E35" s="123"/>
      <c r="F35" s="123"/>
      <c r="G35" s="124"/>
      <c r="H35" s="124"/>
      <c r="I35" s="124"/>
      <c r="J35" s="41"/>
    </row>
    <row r="36" spans="2:14" s="11" customFormat="1" ht="19" x14ac:dyDescent="0.25">
      <c r="B36" s="42"/>
      <c r="C36" s="43" t="s">
        <v>209</v>
      </c>
      <c r="D36" s="128">
        <f t="shared" ref="D36:I36" si="0">SUM(D21:D35)</f>
        <v>6</v>
      </c>
      <c r="E36" s="128">
        <f t="shared" si="0"/>
        <v>6</v>
      </c>
      <c r="F36" s="128">
        <f t="shared" si="0"/>
        <v>15</v>
      </c>
      <c r="G36" s="129">
        <f t="shared" si="0"/>
        <v>6</v>
      </c>
      <c r="H36" s="129">
        <f t="shared" si="0"/>
        <v>3</v>
      </c>
      <c r="I36" s="129">
        <f t="shared" si="0"/>
        <v>18</v>
      </c>
      <c r="J36" s="44"/>
      <c r="K36" s="1064"/>
      <c r="L36" s="1064"/>
      <c r="M36" s="1064"/>
      <c r="N36" s="1064"/>
    </row>
    <row r="37" spans="2:14" s="11" customFormat="1" ht="6" customHeight="1" x14ac:dyDescent="0.25">
      <c r="B37" s="45"/>
      <c r="C37" s="46"/>
      <c r="D37" s="125"/>
      <c r="E37" s="125"/>
      <c r="F37" s="125"/>
      <c r="G37" s="125"/>
      <c r="H37" s="125"/>
      <c r="I37" s="125"/>
      <c r="J37" s="47"/>
      <c r="K37" s="1064"/>
      <c r="L37" s="1064"/>
      <c r="M37" s="1064"/>
      <c r="N37" s="1064"/>
    </row>
    <row r="38" spans="2:14" s="1" customFormat="1" x14ac:dyDescent="0.2">
      <c r="B38" s="48"/>
      <c r="C38" s="175" t="s">
        <v>275</v>
      </c>
      <c r="D38" s="50" t="s">
        <v>196</v>
      </c>
      <c r="E38" s="50" t="s">
        <v>43</v>
      </c>
      <c r="F38" s="50" t="s">
        <v>197</v>
      </c>
      <c r="G38" s="51" t="s">
        <v>196</v>
      </c>
      <c r="H38" s="51" t="s">
        <v>198</v>
      </c>
      <c r="I38" s="51" t="s">
        <v>197</v>
      </c>
      <c r="J38" s="52" t="s">
        <v>199</v>
      </c>
      <c r="K38" s="1059"/>
      <c r="L38" s="1059"/>
      <c r="M38" s="1059"/>
      <c r="N38" s="1059"/>
    </row>
    <row r="39" spans="2:14" ht="15.75" customHeight="1" x14ac:dyDescent="0.2">
      <c r="B39" s="284">
        <v>1</v>
      </c>
      <c r="C39" s="913" t="s">
        <v>477</v>
      </c>
      <c r="D39" s="285"/>
      <c r="E39" s="121"/>
      <c r="F39" s="121"/>
      <c r="G39" s="126"/>
      <c r="H39" s="126"/>
      <c r="I39" s="126"/>
      <c r="J39" s="38"/>
    </row>
    <row r="40" spans="2:14" x14ac:dyDescent="0.2">
      <c r="B40" s="284">
        <v>2</v>
      </c>
      <c r="C40" s="914" t="s">
        <v>465</v>
      </c>
      <c r="D40" s="285"/>
      <c r="E40" s="121"/>
      <c r="F40" s="121"/>
      <c r="G40" s="126"/>
      <c r="H40" s="126"/>
      <c r="I40" s="126"/>
      <c r="J40" s="38"/>
    </row>
    <row r="41" spans="2:14" ht="16.25" customHeight="1" x14ac:dyDescent="0.2">
      <c r="B41" s="284">
        <v>3</v>
      </c>
      <c r="C41" s="913" t="s">
        <v>478</v>
      </c>
      <c r="D41" s="285"/>
      <c r="E41" s="121"/>
      <c r="F41" s="121"/>
      <c r="G41" s="126"/>
      <c r="H41" s="126"/>
      <c r="I41" s="126"/>
      <c r="J41" s="38"/>
    </row>
    <row r="42" spans="2:14" x14ac:dyDescent="0.2">
      <c r="B42" s="284">
        <v>4</v>
      </c>
      <c r="C42" s="914" t="s">
        <v>479</v>
      </c>
      <c r="D42" s="285"/>
      <c r="E42" s="121"/>
      <c r="F42" s="121"/>
      <c r="G42" s="126"/>
      <c r="H42" s="126"/>
      <c r="I42" s="126"/>
      <c r="J42" s="38"/>
    </row>
    <row r="43" spans="2:14" x14ac:dyDescent="0.2">
      <c r="B43" s="284">
        <v>5</v>
      </c>
      <c r="C43" s="881" t="s">
        <v>480</v>
      </c>
      <c r="D43" s="285"/>
      <c r="E43" s="121"/>
      <c r="F43" s="121"/>
      <c r="G43" s="126"/>
      <c r="H43" s="126"/>
      <c r="I43" s="126"/>
      <c r="J43" s="38"/>
    </row>
    <row r="44" spans="2:14" x14ac:dyDescent="0.2">
      <c r="B44" s="284">
        <v>6</v>
      </c>
      <c r="C44" s="913" t="s">
        <v>481</v>
      </c>
      <c r="D44" s="290"/>
      <c r="E44" s="123"/>
      <c r="F44" s="123"/>
      <c r="G44" s="127"/>
      <c r="H44" s="127"/>
      <c r="I44" s="127"/>
      <c r="J44" s="41"/>
    </row>
    <row r="45" spans="2:14" s="11" customFormat="1" ht="19" x14ac:dyDescent="0.25">
      <c r="B45" s="42"/>
      <c r="C45" s="43" t="s">
        <v>214</v>
      </c>
      <c r="D45" s="128">
        <f>SUM(D41:D44)</f>
        <v>0</v>
      </c>
      <c r="E45" s="128">
        <f t="shared" ref="E45:F45" si="1">SUM(E41:E44)</f>
        <v>0</v>
      </c>
      <c r="F45" s="128">
        <f t="shared" si="1"/>
        <v>0</v>
      </c>
      <c r="G45" s="129">
        <f>SUM(G41:G44)</f>
        <v>0</v>
      </c>
      <c r="H45" s="129">
        <f t="shared" ref="H45:I45" si="2">SUM(H41:H44)</f>
        <v>0</v>
      </c>
      <c r="I45" s="129">
        <f t="shared" si="2"/>
        <v>0</v>
      </c>
      <c r="J45" s="53">
        <f>SUM(D45:I45)</f>
        <v>0</v>
      </c>
      <c r="K45" s="1064"/>
      <c r="L45" s="1064"/>
      <c r="M45" s="1064"/>
      <c r="N45" s="1064"/>
    </row>
    <row r="46" spans="2:14" ht="6" customHeight="1" thickBot="1" x14ac:dyDescent="0.25"/>
    <row r="47" spans="2:14" s="54" customFormat="1" ht="19" x14ac:dyDescent="0.25">
      <c r="B47" s="229" t="s">
        <v>215</v>
      </c>
      <c r="D47" s="72"/>
      <c r="E47" s="72" t="s">
        <v>182</v>
      </c>
      <c r="F47" s="72"/>
      <c r="G47" s="55"/>
      <c r="H47" s="55" t="s">
        <v>186</v>
      </c>
      <c r="I47" s="55"/>
      <c r="J47" s="56" t="s">
        <v>216</v>
      </c>
      <c r="K47" s="1065"/>
      <c r="L47" s="1065"/>
      <c r="M47" s="1065"/>
      <c r="N47" s="1065"/>
    </row>
    <row r="48" spans="2:14" s="57" customFormat="1" ht="19" x14ac:dyDescent="0.25">
      <c r="B48" s="231">
        <f t="shared" ref="B48:B50" si="3">SUM(E48:H48)</f>
        <v>114</v>
      </c>
      <c r="D48" s="58" t="s">
        <v>217</v>
      </c>
      <c r="E48" s="224">
        <f>($D$4*12)-D36-E36-F36</f>
        <v>57</v>
      </c>
      <c r="H48" s="111">
        <f>($D$7*12)-G36-H36-I36</f>
        <v>57</v>
      </c>
      <c r="J48" s="1185" t="s">
        <v>386</v>
      </c>
      <c r="K48" s="1060"/>
      <c r="L48" s="1060"/>
      <c r="M48" s="1060"/>
      <c r="N48" s="1060"/>
    </row>
    <row r="49" spans="2:17" s="57" customFormat="1" ht="19" x14ac:dyDescent="0.25">
      <c r="B49" s="231">
        <f t="shared" si="3"/>
        <v>42</v>
      </c>
      <c r="C49" s="58"/>
      <c r="D49" s="58" t="s">
        <v>218</v>
      </c>
      <c r="E49" s="224">
        <f>E36+F36</f>
        <v>21</v>
      </c>
      <c r="H49" s="111">
        <f>+H36+I36</f>
        <v>21</v>
      </c>
      <c r="J49" s="1185"/>
      <c r="K49" s="1060"/>
      <c r="L49" s="1060"/>
      <c r="M49" s="1060"/>
      <c r="N49" s="1060"/>
    </row>
    <row r="50" spans="2:17" s="57" customFormat="1" ht="19" x14ac:dyDescent="0.25">
      <c r="B50" s="231">
        <f t="shared" si="3"/>
        <v>25.263157894736839</v>
      </c>
      <c r="C50" s="58"/>
      <c r="D50" s="58" t="s">
        <v>219</v>
      </c>
      <c r="E50" s="224">
        <f>(($D$6-$D$4)*15)-D45</f>
        <v>18.51315789473685</v>
      </c>
      <c r="H50" s="111">
        <f>(($D$9-$D$7)*15)-$G$44</f>
        <v>6.7499999999999893</v>
      </c>
      <c r="J50" s="1185"/>
      <c r="K50" s="1060"/>
      <c r="L50" s="1060"/>
      <c r="M50" s="1060"/>
      <c r="N50" s="1060"/>
    </row>
    <row r="51" spans="2:17" s="57" customFormat="1" ht="19" x14ac:dyDescent="0.25">
      <c r="B51" s="230">
        <f>SUM(E51:H51)</f>
        <v>181.26315789473682</v>
      </c>
      <c r="C51" s="59"/>
      <c r="D51" s="59" t="s">
        <v>220</v>
      </c>
      <c r="E51" s="106">
        <f>SUM(E48:E50)</f>
        <v>96.51315789473685</v>
      </c>
      <c r="H51" s="112">
        <f>SUM(H48:H50)</f>
        <v>84.749999999999986</v>
      </c>
      <c r="J51" s="1185"/>
      <c r="K51" s="1060"/>
      <c r="L51" s="1060"/>
      <c r="M51" s="1060"/>
      <c r="N51" s="1060"/>
    </row>
    <row r="52" spans="2:17" s="60" customFormat="1" ht="19" x14ac:dyDescent="0.25">
      <c r="C52" s="61"/>
      <c r="D52" s="62" t="s">
        <v>221</v>
      </c>
      <c r="E52" s="107"/>
      <c r="H52" s="113">
        <f>-E52</f>
        <v>0</v>
      </c>
      <c r="J52" s="1185"/>
      <c r="K52" s="1064"/>
      <c r="L52" s="1064"/>
      <c r="M52" s="1064"/>
      <c r="N52" s="1064"/>
    </row>
    <row r="53" spans="2:17" s="57" customFormat="1" ht="19" x14ac:dyDescent="0.25">
      <c r="D53" s="63" t="s">
        <v>222</v>
      </c>
      <c r="E53" s="108">
        <f>SUM(E51:E52)</f>
        <v>96.51315789473685</v>
      </c>
      <c r="G53" s="63"/>
      <c r="H53" s="114">
        <f>SUM(H51:H52)</f>
        <v>84.749999999999986</v>
      </c>
      <c r="I53" s="64"/>
      <c r="J53" s="1185"/>
      <c r="K53" s="1060"/>
      <c r="L53" s="1060"/>
      <c r="M53" s="1060"/>
      <c r="N53" s="1060"/>
    </row>
    <row r="54" spans="2:17" s="57" customFormat="1" ht="19" x14ac:dyDescent="0.25">
      <c r="D54" s="201" t="s">
        <v>278</v>
      </c>
      <c r="E54" s="202">
        <v>96</v>
      </c>
      <c r="F54" s="383" t="s">
        <v>224</v>
      </c>
      <c r="G54" s="204"/>
      <c r="H54" s="115"/>
      <c r="I54" s="66"/>
      <c r="J54" s="1185"/>
      <c r="K54" s="1060"/>
      <c r="L54" s="1060"/>
      <c r="M54" s="1060"/>
      <c r="N54" s="1060"/>
    </row>
    <row r="55" spans="2:17" s="57" customFormat="1" ht="19" x14ac:dyDescent="0.25">
      <c r="D55" s="71" t="s">
        <v>225</v>
      </c>
      <c r="E55" s="109">
        <f>E54-E53</f>
        <v>-0.51315789473684958</v>
      </c>
      <c r="G55" s="65"/>
      <c r="H55" s="116">
        <f>H54-H53</f>
        <v>-84.749999999999986</v>
      </c>
      <c r="I55" s="66"/>
      <c r="J55" s="1185"/>
      <c r="K55" s="1060"/>
      <c r="L55" s="1060"/>
      <c r="M55" s="1060"/>
      <c r="N55" s="1060"/>
    </row>
    <row r="56" spans="2:17" s="57" customFormat="1" ht="19" x14ac:dyDescent="0.25">
      <c r="D56" s="66" t="s">
        <v>226</v>
      </c>
      <c r="E56" s="105">
        <f>IFERROR(($D$5*5)/(E53/3),0)</f>
        <v>24.315337423312883</v>
      </c>
      <c r="H56" s="117">
        <f>IFERROR(5*$D$8/(H53/3),0)</f>
        <v>25.053097345132741</v>
      </c>
      <c r="J56" s="1186"/>
      <c r="K56" s="1060"/>
      <c r="L56" s="1060"/>
      <c r="M56" s="1060"/>
      <c r="N56" s="1060"/>
    </row>
    <row r="58" spans="2:17" x14ac:dyDescent="0.2">
      <c r="D58" t="s">
        <v>227</v>
      </c>
      <c r="E58" s="152">
        <f>+E49+E50+H49+H50+D45+E45+F45+H45+I45+G45</f>
        <v>67.263157894736835</v>
      </c>
      <c r="F58" s="11" t="s">
        <v>228</v>
      </c>
    </row>
    <row r="59" spans="2:17" x14ac:dyDescent="0.2">
      <c r="E59" s="952">
        <f>E58*2507</f>
        <v>168628.73684210525</v>
      </c>
    </row>
    <row r="64" spans="2:17" ht="68" x14ac:dyDescent="0.25">
      <c r="B64" s="1041" t="s">
        <v>229</v>
      </c>
      <c r="C64" s="1029" t="s">
        <v>230</v>
      </c>
      <c r="D64" s="1042" t="s">
        <v>231</v>
      </c>
      <c r="E64" s="1029" t="s">
        <v>232</v>
      </c>
      <c r="F64" s="1029" t="s">
        <v>233</v>
      </c>
      <c r="G64" s="1029" t="s">
        <v>234</v>
      </c>
      <c r="H64" s="1029" t="s">
        <v>235</v>
      </c>
      <c r="I64" s="1029" t="s">
        <v>236</v>
      </c>
      <c r="J64" s="1029" t="s">
        <v>237</v>
      </c>
      <c r="K64" s="1066" t="s">
        <v>238</v>
      </c>
      <c r="L64" s="1066" t="s">
        <v>239</v>
      </c>
      <c r="M64" s="1066" t="s">
        <v>240</v>
      </c>
      <c r="N64" s="1066" t="s">
        <v>241</v>
      </c>
      <c r="O64" s="1029" t="s">
        <v>242</v>
      </c>
      <c r="P64" s="1029" t="s">
        <v>243</v>
      </c>
      <c r="Q64" s="1031" t="s">
        <v>244</v>
      </c>
    </row>
    <row r="65" spans="2:18" ht="18" x14ac:dyDescent="0.25">
      <c r="B65" s="1032"/>
      <c r="C65" s="1033" t="s">
        <v>480</v>
      </c>
      <c r="D65" s="1043" t="s">
        <v>251</v>
      </c>
      <c r="E65" s="1034">
        <v>6082</v>
      </c>
      <c r="F65" s="1035">
        <v>2432.8000000000002</v>
      </c>
      <c r="G65" s="1033" t="s">
        <v>482</v>
      </c>
      <c r="H65" s="1033" t="s">
        <v>285</v>
      </c>
      <c r="I65" s="1033">
        <v>1</v>
      </c>
      <c r="J65" s="1033" t="s">
        <v>249</v>
      </c>
      <c r="K65" s="1067" t="s">
        <v>59</v>
      </c>
      <c r="L65" s="1068">
        <v>30</v>
      </c>
      <c r="M65" s="1068" t="s">
        <v>59</v>
      </c>
      <c r="N65" s="1068" t="s">
        <v>59</v>
      </c>
      <c r="O65" s="1037" t="s">
        <v>59</v>
      </c>
      <c r="P65" s="1044" t="s">
        <v>59</v>
      </c>
      <c r="Q65" s="1045" t="s">
        <v>249</v>
      </c>
    </row>
    <row r="66" spans="2:18" ht="18" x14ac:dyDescent="0.25">
      <c r="B66" s="1032"/>
      <c r="C66" s="1033" t="s">
        <v>483</v>
      </c>
      <c r="D66" s="1043" t="s">
        <v>287</v>
      </c>
      <c r="E66" s="1034">
        <v>6160</v>
      </c>
      <c r="F66" s="1035">
        <v>2464</v>
      </c>
      <c r="G66" s="1033" t="s">
        <v>482</v>
      </c>
      <c r="H66" s="1033" t="s">
        <v>248</v>
      </c>
      <c r="I66" s="1033">
        <v>3</v>
      </c>
      <c r="J66" s="1033">
        <v>1</v>
      </c>
      <c r="K66" s="1067" t="s">
        <v>59</v>
      </c>
      <c r="L66" s="1068">
        <v>18</v>
      </c>
      <c r="M66" s="1068" t="s">
        <v>59</v>
      </c>
      <c r="N66" s="1068" t="s">
        <v>59</v>
      </c>
      <c r="O66" s="1037" t="s">
        <v>59</v>
      </c>
      <c r="P66" s="1044" t="s">
        <v>59</v>
      </c>
      <c r="Q66" s="1046" t="s">
        <v>249</v>
      </c>
    </row>
    <row r="67" spans="2:18" ht="69" x14ac:dyDescent="0.25">
      <c r="B67" s="1032"/>
      <c r="C67" s="1033" t="s">
        <v>484</v>
      </c>
      <c r="D67" s="1043" t="s">
        <v>251</v>
      </c>
      <c r="E67" s="1034">
        <v>6159</v>
      </c>
      <c r="F67" s="1035">
        <v>2463.6</v>
      </c>
      <c r="G67" s="1033" t="s">
        <v>482</v>
      </c>
      <c r="H67" s="1033" t="s">
        <v>248</v>
      </c>
      <c r="I67" s="1033">
        <v>3</v>
      </c>
      <c r="J67" s="1033">
        <v>1</v>
      </c>
      <c r="K67" s="1067" t="s">
        <v>485</v>
      </c>
      <c r="L67" s="1068">
        <v>15</v>
      </c>
      <c r="M67" s="1068" t="s">
        <v>59</v>
      </c>
      <c r="N67" s="1068" t="s">
        <v>59</v>
      </c>
      <c r="O67" s="1037" t="s">
        <v>59</v>
      </c>
      <c r="P67" s="1044" t="s">
        <v>59</v>
      </c>
      <c r="Q67" s="1046" t="s">
        <v>249</v>
      </c>
    </row>
    <row r="68" spans="2:18" ht="18" x14ac:dyDescent="0.25">
      <c r="B68" s="1032"/>
      <c r="C68" s="1033" t="s">
        <v>486</v>
      </c>
      <c r="D68" s="1043" t="s">
        <v>246</v>
      </c>
      <c r="E68" s="1034">
        <v>5007</v>
      </c>
      <c r="F68" s="1035">
        <v>2002.8</v>
      </c>
      <c r="G68" s="1033" t="s">
        <v>487</v>
      </c>
      <c r="H68" s="1047" t="s">
        <v>248</v>
      </c>
      <c r="I68" s="1033">
        <v>3</v>
      </c>
      <c r="J68" s="1033">
        <v>1</v>
      </c>
      <c r="K68" s="1069" t="s">
        <v>59</v>
      </c>
      <c r="L68" s="1068">
        <v>15</v>
      </c>
      <c r="M68" s="1068" t="s">
        <v>59</v>
      </c>
      <c r="N68" s="1068" t="s">
        <v>59</v>
      </c>
      <c r="O68" s="1037" t="s">
        <v>59</v>
      </c>
      <c r="P68" s="1048" t="s">
        <v>59</v>
      </c>
      <c r="Q68" s="1046" t="s">
        <v>249</v>
      </c>
    </row>
    <row r="69" spans="2:18" ht="18" x14ac:dyDescent="0.25">
      <c r="B69" s="1032"/>
      <c r="C69" s="1033" t="s">
        <v>488</v>
      </c>
      <c r="D69" s="1043" t="s">
        <v>246</v>
      </c>
      <c r="E69" s="1034">
        <v>5348</v>
      </c>
      <c r="F69" s="1035">
        <v>2139.1999999999998</v>
      </c>
      <c r="G69" s="1033" t="s">
        <v>487</v>
      </c>
      <c r="H69" s="1049" t="s">
        <v>248</v>
      </c>
      <c r="I69" s="1033">
        <v>3</v>
      </c>
      <c r="J69" s="1033">
        <v>1</v>
      </c>
      <c r="K69" s="1070" t="s">
        <v>59</v>
      </c>
      <c r="L69" s="1068">
        <v>15</v>
      </c>
      <c r="M69" s="1068" t="s">
        <v>59</v>
      </c>
      <c r="N69" s="1068" t="s">
        <v>59</v>
      </c>
      <c r="O69" s="1037" t="s">
        <v>59</v>
      </c>
      <c r="P69" s="1050" t="s">
        <v>59</v>
      </c>
      <c r="Q69" s="1046" t="s">
        <v>249</v>
      </c>
    </row>
    <row r="70" spans="2:18" ht="18" x14ac:dyDescent="0.25">
      <c r="B70" s="1032"/>
      <c r="C70" s="1033" t="s">
        <v>489</v>
      </c>
      <c r="D70" s="1043" t="s">
        <v>251</v>
      </c>
      <c r="E70" s="1034">
        <v>5324</v>
      </c>
      <c r="F70" s="1035">
        <v>2129.6</v>
      </c>
      <c r="G70" s="1033" t="s">
        <v>487</v>
      </c>
      <c r="H70" s="1033" t="s">
        <v>248</v>
      </c>
      <c r="I70" s="1033">
        <v>3</v>
      </c>
      <c r="J70" s="1033">
        <v>1</v>
      </c>
      <c r="K70" s="1070" t="s">
        <v>59</v>
      </c>
      <c r="L70" s="1068">
        <v>8.5</v>
      </c>
      <c r="M70" s="1068" t="s">
        <v>59</v>
      </c>
      <c r="N70" s="1068" t="s">
        <v>59</v>
      </c>
      <c r="O70" s="1037" t="s">
        <v>59</v>
      </c>
      <c r="P70" s="1044" t="s">
        <v>59</v>
      </c>
      <c r="Q70" s="1046" t="s">
        <v>249</v>
      </c>
    </row>
    <row r="71" spans="2:18" ht="69" x14ac:dyDescent="0.25">
      <c r="B71" s="1032"/>
      <c r="C71" s="1033" t="s">
        <v>490</v>
      </c>
      <c r="D71" s="1043" t="s">
        <v>287</v>
      </c>
      <c r="E71" s="1034">
        <v>5208</v>
      </c>
      <c r="F71" s="1035">
        <v>2083.1999999999998</v>
      </c>
      <c r="G71" s="1033" t="s">
        <v>487</v>
      </c>
      <c r="H71" s="1033" t="s">
        <v>248</v>
      </c>
      <c r="I71" s="1033">
        <v>3</v>
      </c>
      <c r="J71" s="1033">
        <v>1</v>
      </c>
      <c r="K71" s="1071" t="s">
        <v>491</v>
      </c>
      <c r="L71" s="1068">
        <v>3</v>
      </c>
      <c r="M71" s="1068" t="s">
        <v>59</v>
      </c>
      <c r="N71" s="1068" t="s">
        <v>59</v>
      </c>
      <c r="O71" s="1037" t="s">
        <v>59</v>
      </c>
      <c r="P71" s="1044" t="s">
        <v>59</v>
      </c>
      <c r="Q71" s="1046" t="s">
        <v>249</v>
      </c>
    </row>
    <row r="72" spans="2:18" x14ac:dyDescent="0.2">
      <c r="B72" s="272"/>
      <c r="C72" s="272"/>
      <c r="D72" s="1040"/>
      <c r="E72" s="272"/>
      <c r="F72" s="272"/>
      <c r="G72" s="272"/>
      <c r="H72" s="272"/>
      <c r="I72" s="272"/>
      <c r="J72" s="272"/>
      <c r="K72" s="1072"/>
      <c r="L72" s="1073">
        <f>SUM(L65:L71)</f>
        <v>104.5</v>
      </c>
      <c r="N72" s="1072"/>
      <c r="O72" s="272"/>
      <c r="P72" s="272"/>
      <c r="Q72" s="272"/>
      <c r="R72" s="1040"/>
    </row>
    <row r="73" spans="2:18" x14ac:dyDescent="0.2">
      <c r="B73" s="1053">
        <f>SUM(B65:B71)</f>
        <v>0</v>
      </c>
      <c r="C73" s="272" t="s">
        <v>255</v>
      </c>
      <c r="D73" s="272"/>
      <c r="E73" s="272"/>
      <c r="F73" s="272"/>
      <c r="G73" s="272"/>
      <c r="H73" s="272"/>
      <c r="I73" s="272"/>
      <c r="J73" s="272"/>
      <c r="K73" s="1072"/>
      <c r="L73" s="1072"/>
      <c r="M73" s="1072"/>
      <c r="N73" s="1072"/>
      <c r="O73" s="272"/>
      <c r="P73" s="272"/>
      <c r="Q73" s="272"/>
      <c r="R73" s="1040"/>
    </row>
    <row r="75" spans="2:18" x14ac:dyDescent="0.2">
      <c r="B75" t="s">
        <v>256</v>
      </c>
    </row>
  </sheetData>
  <sheetProtection algorithmName="SHA-512" hashValue="foRP5M0cYP31D0GJZ7RTDRhfhfzmt/mGJD5QPpJUhuDkyC3B0G/wvn577UV90ldzOVcsHb7TkZ/+IlpCE5mD/g==" saltValue="tgMK9iLr7pM+ri97dwx+WA==" spinCount="100000" sheet="1" objects="1" scenarios="1"/>
  <sortState xmlns:xlrd2="http://schemas.microsoft.com/office/spreadsheetml/2017/richdata2" ref="C21:J27">
    <sortCondition ref="C21:C27"/>
  </sortState>
  <mergeCells count="6">
    <mergeCell ref="J48:J56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44D79FC-9FB6-41EA-A05A-24BC4B037C13}">
          <x14:formula1>
            <xm:f>'Data Elements'!$A$3:$A$101</xm:f>
          </x14:formula1>
          <xm:sqref>C35</xm:sqref>
        </x14:dataValidation>
        <x14:dataValidation type="list" allowBlank="1" showInputMessage="1" showErrorMessage="1" xr:uid="{BC8DE316-A647-4BD4-8429-1908090B42DB}">
          <x14:formula1>
            <xm:f>'Data Elements'!$F$3:$F$31</xm:f>
          </x14:formula1>
          <xm:sqref>D2</xm:sqref>
        </x14:dataValidation>
        <x14:dataValidation type="list" allowBlank="1" showInputMessage="1" showErrorMessage="1" xr:uid="{D6BDD8AC-BA13-404E-B3B1-016110AA2AA9}">
          <x14:formula1>
            <xm:f>'Data Elements'!$A$3:$A$179</xm:f>
          </x14:formula1>
          <xm:sqref>C21:C34 C40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A1A5-17CE-4F15-BC1C-8DED57AEF0A9}">
  <sheetPr>
    <tabColor rgb="FF000000"/>
  </sheetPr>
  <dimension ref="A1:M78"/>
  <sheetViews>
    <sheetView topLeftCell="D26" workbookViewId="0">
      <selection activeCell="H50" sqref="H50"/>
    </sheetView>
    <sheetView topLeftCell="D33" workbookViewId="1">
      <selection activeCell="F53" sqref="F53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6.33203125" customWidth="1"/>
    <col min="4" max="4" width="20.6640625" customWidth="1"/>
    <col min="5" max="5" width="24.5" customWidth="1"/>
    <col min="6" max="6" width="17.83203125" customWidth="1"/>
    <col min="7" max="7" width="24.1640625" customWidth="1"/>
    <col min="8" max="8" width="20.33203125" customWidth="1"/>
    <col min="9" max="9" width="12.1640625" customWidth="1"/>
    <col min="10" max="10" width="86.6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76" thickBot="1" x14ac:dyDescent="0.35">
      <c r="A2" s="1176" t="s">
        <v>181</v>
      </c>
      <c r="B2" s="1176"/>
      <c r="C2" s="1176"/>
      <c r="D2" s="355" t="s">
        <v>98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7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172.30500000000001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13.7844</v>
      </c>
    </row>
    <row r="7" spans="1:10" x14ac:dyDescent="0.2">
      <c r="B7" s="1180" t="s">
        <v>186</v>
      </c>
      <c r="C7" s="16" t="s">
        <v>187</v>
      </c>
      <c r="D7" s="173">
        <v>7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155.89499999999998</v>
      </c>
    </row>
    <row r="9" spans="1:10" ht="17" thickBot="1" x14ac:dyDescent="0.25">
      <c r="B9" s="1182"/>
      <c r="C9" s="19" t="s">
        <v>10</v>
      </c>
      <c r="D9" s="20">
        <f>VLOOKUP($D$2,Overview!$A$4:$AC$31,26,0)</f>
        <v>12.471599999999999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71" t="s">
        <v>42</v>
      </c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271" t="s">
        <v>492</v>
      </c>
      <c r="D22" s="121"/>
      <c r="E22" s="121"/>
      <c r="F22" s="121"/>
      <c r="G22" s="122"/>
      <c r="H22" s="122">
        <v>3</v>
      </c>
      <c r="I22" s="122"/>
      <c r="J22" s="38" t="s">
        <v>493</v>
      </c>
    </row>
    <row r="23" spans="2:10" x14ac:dyDescent="0.2">
      <c r="B23" s="36">
        <v>3</v>
      </c>
      <c r="C23" s="271" t="s">
        <v>494</v>
      </c>
      <c r="D23" s="121"/>
      <c r="E23" s="121"/>
      <c r="F23" s="121"/>
      <c r="G23" s="122"/>
      <c r="H23" s="122">
        <v>3</v>
      </c>
      <c r="I23" s="122"/>
      <c r="J23" s="38" t="s">
        <v>495</v>
      </c>
    </row>
    <row r="24" spans="2:10" x14ac:dyDescent="0.2">
      <c r="B24" s="36">
        <v>5</v>
      </c>
      <c r="C24" s="271" t="s">
        <v>496</v>
      </c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6</v>
      </c>
      <c r="C25" s="271" t="s">
        <v>497</v>
      </c>
      <c r="D25" s="121">
        <v>6</v>
      </c>
      <c r="E25" s="121">
        <v>3</v>
      </c>
      <c r="F25" s="121"/>
      <c r="G25" s="122">
        <v>6</v>
      </c>
      <c r="H25" s="122"/>
      <c r="I25" s="122"/>
      <c r="J25" s="38" t="s">
        <v>498</v>
      </c>
    </row>
    <row r="26" spans="2:10" x14ac:dyDescent="0.2">
      <c r="B26" s="36">
        <v>7</v>
      </c>
      <c r="C26" s="271" t="s">
        <v>499</v>
      </c>
      <c r="D26" s="121"/>
      <c r="E26" s="121">
        <v>3</v>
      </c>
      <c r="F26" s="121"/>
      <c r="G26" s="122"/>
      <c r="H26" s="122"/>
      <c r="I26" s="122"/>
      <c r="J26" s="38" t="s">
        <v>500</v>
      </c>
    </row>
    <row r="27" spans="2:10" x14ac:dyDescent="0.2">
      <c r="B27" s="36">
        <v>8</v>
      </c>
      <c r="C27" s="271" t="s">
        <v>501</v>
      </c>
      <c r="D27" s="121"/>
      <c r="E27" s="121"/>
      <c r="F27" s="121"/>
      <c r="G27" s="122"/>
      <c r="H27" s="122">
        <v>3</v>
      </c>
      <c r="I27" s="122"/>
      <c r="J27" s="38" t="s">
        <v>502</v>
      </c>
    </row>
    <row r="28" spans="2:10" x14ac:dyDescent="0.2">
      <c r="B28" s="36">
        <v>9</v>
      </c>
      <c r="C28" s="22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10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11</v>
      </c>
      <c r="C30" s="37"/>
      <c r="D30" s="121"/>
      <c r="E30" s="121">
        <v>1</v>
      </c>
      <c r="F30" s="121"/>
      <c r="G30" s="122"/>
      <c r="H30" s="122"/>
      <c r="I30" s="122"/>
      <c r="J30" s="38" t="s">
        <v>503</v>
      </c>
    </row>
    <row r="31" spans="2:10" x14ac:dyDescent="0.2">
      <c r="B31" s="36">
        <v>12</v>
      </c>
      <c r="C31" s="37"/>
      <c r="D31" s="121"/>
      <c r="E31" s="121">
        <v>5</v>
      </c>
      <c r="F31" s="121"/>
      <c r="G31" s="122"/>
      <c r="H31" s="122"/>
      <c r="I31" s="122"/>
      <c r="J31" s="38" t="s">
        <v>504</v>
      </c>
    </row>
    <row r="32" spans="2:10" x14ac:dyDescent="0.2">
      <c r="B32" s="36">
        <v>13</v>
      </c>
      <c r="C32" s="37"/>
      <c r="D32" s="121"/>
      <c r="E32" s="121">
        <v>3</v>
      </c>
      <c r="F32" s="121"/>
      <c r="G32" s="122"/>
      <c r="H32" s="122"/>
      <c r="I32" s="122"/>
      <c r="J32" s="38" t="s">
        <v>505</v>
      </c>
    </row>
    <row r="33" spans="2:10" x14ac:dyDescent="0.2">
      <c r="B33" s="36">
        <v>14</v>
      </c>
      <c r="C33" s="37"/>
      <c r="D33" s="121"/>
      <c r="E33" s="121">
        <v>3</v>
      </c>
      <c r="F33" s="121"/>
      <c r="G33" s="122"/>
      <c r="H33" s="122"/>
      <c r="I33" s="122"/>
      <c r="J33" s="38" t="s">
        <v>506</v>
      </c>
    </row>
    <row r="34" spans="2:10" x14ac:dyDescent="0.2">
      <c r="B34" s="36">
        <v>15</v>
      </c>
      <c r="C34" s="37"/>
      <c r="D34" s="121"/>
      <c r="E34" s="121"/>
      <c r="F34" s="121"/>
      <c r="G34" s="122"/>
      <c r="H34" s="122"/>
      <c r="I34" s="122"/>
      <c r="J34" s="38"/>
    </row>
    <row r="35" spans="2:10" ht="17" thickBot="1" x14ac:dyDescent="0.25">
      <c r="B35" s="39">
        <v>16</v>
      </c>
      <c r="C35" s="40"/>
      <c r="D35" s="123"/>
      <c r="E35" s="123"/>
      <c r="F35" s="123"/>
      <c r="G35" s="124"/>
      <c r="H35" s="124"/>
      <c r="I35" s="124"/>
      <c r="J35" s="41"/>
    </row>
    <row r="36" spans="2:10" s="11" customFormat="1" ht="21" thickTop="1" thickBot="1" x14ac:dyDescent="0.3">
      <c r="B36" s="42"/>
      <c r="C36" s="43" t="s">
        <v>209</v>
      </c>
      <c r="D36" s="128">
        <f t="shared" ref="D36:I36" si="0">SUM(D21:D35)</f>
        <v>6</v>
      </c>
      <c r="E36" s="128">
        <f t="shared" si="0"/>
        <v>18</v>
      </c>
      <c r="F36" s="128">
        <f t="shared" si="0"/>
        <v>0</v>
      </c>
      <c r="G36" s="129">
        <f t="shared" si="0"/>
        <v>6</v>
      </c>
      <c r="H36" s="129">
        <f t="shared" si="0"/>
        <v>9</v>
      </c>
      <c r="I36" s="129">
        <f t="shared" si="0"/>
        <v>0</v>
      </c>
      <c r="J36" s="44"/>
    </row>
    <row r="37" spans="2:10" s="11" customFormat="1" ht="6" customHeight="1" thickBot="1" x14ac:dyDescent="0.3">
      <c r="B37" s="45"/>
      <c r="C37" s="46"/>
      <c r="D37" s="125"/>
      <c r="E37" s="125"/>
      <c r="F37" s="125"/>
      <c r="G37" s="125"/>
      <c r="H37" s="125"/>
      <c r="I37" s="125"/>
      <c r="J37" s="47"/>
    </row>
    <row r="38" spans="2:10" s="1" customFormat="1" x14ac:dyDescent="0.2">
      <c r="B38" s="48"/>
      <c r="C38" s="175" t="s">
        <v>275</v>
      </c>
      <c r="D38" s="50" t="s">
        <v>196</v>
      </c>
      <c r="E38" s="50" t="s">
        <v>43</v>
      </c>
      <c r="F38" s="50" t="s">
        <v>197</v>
      </c>
      <c r="G38" s="51" t="s">
        <v>196</v>
      </c>
      <c r="H38" s="51" t="s">
        <v>198</v>
      </c>
      <c r="I38" s="51" t="s">
        <v>197</v>
      </c>
      <c r="J38" s="52" t="s">
        <v>199</v>
      </c>
    </row>
    <row r="39" spans="2:10" ht="16.25" customHeight="1" x14ac:dyDescent="0.2">
      <c r="B39" s="36">
        <v>1</v>
      </c>
      <c r="C39" s="37"/>
      <c r="D39" s="121"/>
      <c r="E39" s="121"/>
      <c r="F39" s="121"/>
      <c r="G39" s="126"/>
      <c r="H39" s="126"/>
      <c r="I39" s="126"/>
      <c r="J39" s="38"/>
    </row>
    <row r="40" spans="2:10" x14ac:dyDescent="0.2">
      <c r="B40" s="36">
        <v>2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3</v>
      </c>
      <c r="C41" s="37"/>
      <c r="D41" s="121"/>
      <c r="E41" s="121"/>
      <c r="F41" s="121"/>
      <c r="G41" s="126"/>
      <c r="H41" s="126"/>
      <c r="I41" s="126"/>
      <c r="J41" s="38"/>
    </row>
    <row r="42" spans="2:10" ht="17" thickBot="1" x14ac:dyDescent="0.25">
      <c r="B42" s="39">
        <v>4</v>
      </c>
      <c r="C42" s="37"/>
      <c r="D42" s="123"/>
      <c r="E42" s="123"/>
      <c r="F42" s="123"/>
      <c r="G42" s="127"/>
      <c r="H42" s="127"/>
      <c r="I42" s="127"/>
      <c r="J42" s="41"/>
    </row>
    <row r="43" spans="2:10" s="11" customFormat="1" ht="21" thickTop="1" thickBot="1" x14ac:dyDescent="0.3">
      <c r="B43" s="42"/>
      <c r="C43" s="43" t="s">
        <v>214</v>
      </c>
      <c r="D43" s="128">
        <f>SUM(D39:D42)</f>
        <v>0</v>
      </c>
      <c r="E43" s="128">
        <f t="shared" ref="E43:F43" si="1">SUM(E39:E42)</f>
        <v>0</v>
      </c>
      <c r="F43" s="128">
        <f t="shared" si="1"/>
        <v>0</v>
      </c>
      <c r="G43" s="129">
        <f>SUM(G39:G42)</f>
        <v>0</v>
      </c>
      <c r="H43" s="129">
        <f t="shared" ref="H43:I43" si="2">SUM(H39:H42)</f>
        <v>0</v>
      </c>
      <c r="I43" s="129">
        <f t="shared" si="2"/>
        <v>0</v>
      </c>
      <c r="J43" s="53">
        <f>SUM(D43:I43)</f>
        <v>0</v>
      </c>
    </row>
    <row r="44" spans="2:10" ht="6" customHeight="1" thickBot="1" x14ac:dyDescent="0.25"/>
    <row r="45" spans="2:10" s="54" customFormat="1" ht="19" x14ac:dyDescent="0.25">
      <c r="B45" s="229" t="s">
        <v>215</v>
      </c>
      <c r="D45" s="72"/>
      <c r="E45" s="72" t="s">
        <v>182</v>
      </c>
      <c r="F45" s="72"/>
      <c r="G45" s="55"/>
      <c r="H45" s="55" t="s">
        <v>186</v>
      </c>
      <c r="I45" s="55"/>
      <c r="J45" s="56" t="s">
        <v>216</v>
      </c>
    </row>
    <row r="46" spans="2:10" s="57" customFormat="1" ht="19" x14ac:dyDescent="0.25">
      <c r="B46" s="231">
        <f t="shared" ref="B46:B48" si="3">SUM(E46:H46)</f>
        <v>129</v>
      </c>
      <c r="D46" s="58" t="s">
        <v>217</v>
      </c>
      <c r="E46" s="224">
        <f>($D$4*12)-D36-E36-F36</f>
        <v>60</v>
      </c>
      <c r="H46" s="111">
        <f>($D$7*12)-G36-H36-I36</f>
        <v>69</v>
      </c>
      <c r="J46" s="1185" t="s">
        <v>386</v>
      </c>
    </row>
    <row r="47" spans="2:10" s="57" customFormat="1" ht="19" x14ac:dyDescent="0.25">
      <c r="B47" s="231">
        <f t="shared" si="3"/>
        <v>27</v>
      </c>
      <c r="C47" s="58"/>
      <c r="D47" s="58" t="s">
        <v>218</v>
      </c>
      <c r="E47" s="224">
        <f>+E36+F36</f>
        <v>18</v>
      </c>
      <c r="H47" s="111">
        <f>+H36+I36</f>
        <v>9</v>
      </c>
      <c r="J47" s="1185"/>
    </row>
    <row r="48" spans="2:10" s="57" customFormat="1" ht="19" x14ac:dyDescent="0.25">
      <c r="B48" s="231">
        <f t="shared" si="3"/>
        <v>183.83999999999997</v>
      </c>
      <c r="C48" s="58"/>
      <c r="D48" s="58" t="s">
        <v>219</v>
      </c>
      <c r="E48" s="224">
        <f>(($D$6-$D$4)*15)-D43</f>
        <v>101.76599999999999</v>
      </c>
      <c r="H48" s="111">
        <f>(($D$9-$D$7)*15)-$G$44</f>
        <v>82.073999999999984</v>
      </c>
      <c r="J48" s="1185"/>
    </row>
    <row r="49" spans="2:13" s="57" customFormat="1" ht="19" x14ac:dyDescent="0.25">
      <c r="B49" s="230">
        <f>SUM(E49:H49)</f>
        <v>339.84</v>
      </c>
      <c r="C49" s="59"/>
      <c r="D49" s="59" t="s">
        <v>220</v>
      </c>
      <c r="E49" s="106">
        <f>SUM(E46:E48)</f>
        <v>179.76599999999999</v>
      </c>
      <c r="H49" s="112">
        <f>SUM(H46:H48)</f>
        <v>160.07399999999998</v>
      </c>
      <c r="J49" s="1185"/>
    </row>
    <row r="50" spans="2:13" s="60" customFormat="1" ht="21" thickTop="1" thickBot="1" x14ac:dyDescent="0.3">
      <c r="C50" s="61"/>
      <c r="D50" s="62" t="s">
        <v>221</v>
      </c>
      <c r="E50" s="107"/>
      <c r="H50" s="113">
        <f>-E50</f>
        <v>0</v>
      </c>
      <c r="J50" s="1185"/>
    </row>
    <row r="51" spans="2:13" s="57" customFormat="1" ht="20" thickBot="1" x14ac:dyDescent="0.3">
      <c r="D51" s="63" t="s">
        <v>222</v>
      </c>
      <c r="E51" s="108">
        <f>SUM(E49:E50)</f>
        <v>179.76599999999999</v>
      </c>
      <c r="G51" s="63"/>
      <c r="H51" s="114">
        <f>SUM(H49:H50)</f>
        <v>160.07399999999998</v>
      </c>
      <c r="I51" s="64"/>
      <c r="J51" s="1185"/>
    </row>
    <row r="52" spans="2:13" s="57" customFormat="1" ht="19" x14ac:dyDescent="0.25">
      <c r="D52" s="201" t="s">
        <v>278</v>
      </c>
      <c r="E52" s="202">
        <v>169.9</v>
      </c>
      <c r="F52" s="383" t="s">
        <v>224</v>
      </c>
      <c r="G52" s="204"/>
      <c r="H52" s="115"/>
      <c r="I52" s="66"/>
      <c r="J52" s="1185"/>
    </row>
    <row r="53" spans="2:13" s="57" customFormat="1" ht="19" x14ac:dyDescent="0.25">
      <c r="D53" s="71" t="s">
        <v>225</v>
      </c>
      <c r="E53" s="109">
        <f>E52-E51</f>
        <v>-9.8659999999999854</v>
      </c>
      <c r="G53" s="65"/>
      <c r="H53" s="116">
        <f>H52-H51</f>
        <v>-160.07399999999998</v>
      </c>
      <c r="I53" s="66"/>
      <c r="J53" s="1185"/>
    </row>
    <row r="54" spans="2:13" s="57" customFormat="1" ht="20" thickBot="1" x14ac:dyDescent="0.3">
      <c r="D54" s="66" t="s">
        <v>226</v>
      </c>
      <c r="E54" s="105">
        <f>IFERROR(($D$5*5)/(E51/3),0)</f>
        <v>14.377440672874739</v>
      </c>
      <c r="H54" s="117">
        <f>IFERROR(5*$D$8/(H51/3),0)</f>
        <v>14.608399865062408</v>
      </c>
      <c r="J54" s="1186"/>
    </row>
    <row r="56" spans="2:13" x14ac:dyDescent="0.2">
      <c r="D56" t="s">
        <v>227</v>
      </c>
      <c r="E56" s="152">
        <f>++E47+E48+H47+H48+D43+E43+F43+G43+H43+I43</f>
        <v>210.83999999999997</v>
      </c>
      <c r="F56" s="11" t="s">
        <v>228</v>
      </c>
    </row>
    <row r="57" spans="2:13" x14ac:dyDescent="0.2">
      <c r="E57" s="952">
        <f>E56*2507</f>
        <v>528575.87999999989</v>
      </c>
    </row>
    <row r="60" spans="2:13" ht="68" x14ac:dyDescent="0.25">
      <c r="B60" s="232" t="s">
        <v>279</v>
      </c>
      <c r="C60" s="456" t="s">
        <v>230</v>
      </c>
      <c r="D60" s="457" t="s">
        <v>280</v>
      </c>
      <c r="E60" s="458" t="s">
        <v>234</v>
      </c>
      <c r="F60" s="456" t="s">
        <v>235</v>
      </c>
      <c r="G60" s="459" t="s">
        <v>236</v>
      </c>
      <c r="H60" s="459" t="s">
        <v>237</v>
      </c>
      <c r="I60" s="459" t="s">
        <v>238</v>
      </c>
      <c r="J60" s="458" t="s">
        <v>281</v>
      </c>
      <c r="K60" s="458" t="s">
        <v>282</v>
      </c>
      <c r="L60" s="458" t="s">
        <v>243</v>
      </c>
      <c r="M60" s="580" t="s">
        <v>244</v>
      </c>
    </row>
    <row r="61" spans="2:13" ht="51" x14ac:dyDescent="0.25">
      <c r="B61">
        <v>1</v>
      </c>
      <c r="C61" s="563" t="s">
        <v>507</v>
      </c>
      <c r="D61" s="590" t="s">
        <v>287</v>
      </c>
      <c r="E61" s="591" t="s">
        <v>284</v>
      </c>
      <c r="F61" s="563" t="s">
        <v>285</v>
      </c>
      <c r="G61" s="562">
        <v>1</v>
      </c>
      <c r="H61" s="562" t="s">
        <v>249</v>
      </c>
      <c r="I61" s="563" t="s">
        <v>420</v>
      </c>
      <c r="J61" s="559">
        <v>30</v>
      </c>
      <c r="K61" s="559"/>
      <c r="L61" s="592"/>
      <c r="M61" s="593" t="s">
        <v>249</v>
      </c>
    </row>
    <row r="62" spans="2:13" ht="51" x14ac:dyDescent="0.25">
      <c r="B62">
        <v>1</v>
      </c>
      <c r="C62" s="594" t="s">
        <v>508</v>
      </c>
      <c r="D62" s="556" t="s">
        <v>251</v>
      </c>
      <c r="E62" s="591" t="s">
        <v>252</v>
      </c>
      <c r="F62" s="556" t="s">
        <v>285</v>
      </c>
      <c r="G62" s="557">
        <v>1</v>
      </c>
      <c r="H62" s="557" t="s">
        <v>249</v>
      </c>
      <c r="I62" s="563" t="s">
        <v>509</v>
      </c>
      <c r="J62" s="559">
        <v>30</v>
      </c>
      <c r="K62" s="559"/>
      <c r="L62" s="595"/>
      <c r="M62" s="593" t="s">
        <v>249</v>
      </c>
    </row>
    <row r="63" spans="2:13" ht="17" x14ac:dyDescent="0.25">
      <c r="C63" s="461" t="s">
        <v>510</v>
      </c>
      <c r="D63" s="461" t="s">
        <v>251</v>
      </c>
      <c r="E63" s="464" t="s">
        <v>247</v>
      </c>
      <c r="F63" s="461" t="s">
        <v>248</v>
      </c>
      <c r="G63" s="465">
        <v>3</v>
      </c>
      <c r="H63" s="465">
        <v>1</v>
      </c>
      <c r="I63" s="461"/>
      <c r="J63" s="528">
        <v>7</v>
      </c>
      <c r="K63" s="527"/>
      <c r="L63" s="529"/>
      <c r="M63" s="351" t="s">
        <v>249</v>
      </c>
    </row>
    <row r="64" spans="2:13" ht="17" x14ac:dyDescent="0.25">
      <c r="C64" s="461" t="s">
        <v>511</v>
      </c>
      <c r="D64" s="462" t="s">
        <v>287</v>
      </c>
      <c r="E64" s="464" t="s">
        <v>252</v>
      </c>
      <c r="F64" s="461" t="s">
        <v>248</v>
      </c>
      <c r="G64" s="465">
        <v>3</v>
      </c>
      <c r="H64" s="465">
        <v>1</v>
      </c>
      <c r="I64" s="461" t="s">
        <v>512</v>
      </c>
      <c r="J64" s="528">
        <v>26.33</v>
      </c>
      <c r="K64" s="527"/>
      <c r="L64" s="581"/>
      <c r="M64" s="351" t="s">
        <v>249</v>
      </c>
    </row>
    <row r="65" spans="2:13" ht="204" x14ac:dyDescent="0.25">
      <c r="C65" s="461" t="s">
        <v>513</v>
      </c>
      <c r="D65" s="462" t="s">
        <v>246</v>
      </c>
      <c r="E65" s="464" t="s">
        <v>284</v>
      </c>
      <c r="F65" s="461" t="s">
        <v>248</v>
      </c>
      <c r="G65" s="465">
        <v>3</v>
      </c>
      <c r="H65" s="465">
        <v>1</v>
      </c>
      <c r="I65" s="526" t="s">
        <v>514</v>
      </c>
      <c r="J65" s="528">
        <v>12</v>
      </c>
      <c r="K65" s="527"/>
      <c r="L65" s="581"/>
      <c r="M65" s="351" t="s">
        <v>249</v>
      </c>
    </row>
    <row r="66" spans="2:13" ht="17" x14ac:dyDescent="0.25">
      <c r="C66" s="567" t="s">
        <v>515</v>
      </c>
      <c r="D66" s="461" t="s">
        <v>251</v>
      </c>
      <c r="E66" s="464" t="s">
        <v>247</v>
      </c>
      <c r="F66" s="461" t="s">
        <v>248</v>
      </c>
      <c r="G66" s="465">
        <v>3</v>
      </c>
      <c r="H66" s="465">
        <v>1</v>
      </c>
      <c r="I66" s="461"/>
      <c r="J66" s="528">
        <v>9</v>
      </c>
      <c r="K66" s="527"/>
      <c r="L66" s="568"/>
      <c r="M66" s="351" t="s">
        <v>249</v>
      </c>
    </row>
    <row r="67" spans="2:13" ht="17" x14ac:dyDescent="0.25">
      <c r="C67" s="462" t="s">
        <v>516</v>
      </c>
      <c r="D67" s="461" t="s">
        <v>251</v>
      </c>
      <c r="E67" s="464" t="s">
        <v>247</v>
      </c>
      <c r="F67" s="461" t="s">
        <v>248</v>
      </c>
      <c r="G67" s="465">
        <v>3</v>
      </c>
      <c r="H67" s="465">
        <v>1</v>
      </c>
      <c r="I67" s="461"/>
      <c r="J67" s="528">
        <v>6</v>
      </c>
      <c r="K67" s="527"/>
      <c r="L67" s="568"/>
      <c r="M67" s="351" t="s">
        <v>249</v>
      </c>
    </row>
    <row r="68" spans="2:13" ht="17" x14ac:dyDescent="0.25">
      <c r="C68" s="461" t="s">
        <v>517</v>
      </c>
      <c r="D68" s="462" t="s">
        <v>300</v>
      </c>
      <c r="E68" s="464" t="s">
        <v>247</v>
      </c>
      <c r="F68" s="461" t="s">
        <v>248</v>
      </c>
      <c r="G68" s="465" t="s">
        <v>301</v>
      </c>
      <c r="H68" s="465">
        <v>2</v>
      </c>
      <c r="I68" s="461" t="s">
        <v>512</v>
      </c>
      <c r="J68" s="528">
        <v>24</v>
      </c>
      <c r="K68" s="528"/>
      <c r="L68" s="581"/>
      <c r="M68" s="351" t="s">
        <v>427</v>
      </c>
    </row>
    <row r="69" spans="2:13" ht="17" x14ac:dyDescent="0.25">
      <c r="C69" s="462" t="s">
        <v>518</v>
      </c>
      <c r="D69" s="462" t="s">
        <v>300</v>
      </c>
      <c r="E69" s="464" t="s">
        <v>284</v>
      </c>
      <c r="F69" s="461" t="s">
        <v>248</v>
      </c>
      <c r="G69" s="465" t="s">
        <v>301</v>
      </c>
      <c r="H69" s="465">
        <v>2</v>
      </c>
      <c r="I69" s="461"/>
      <c r="J69" s="528">
        <v>8</v>
      </c>
      <c r="K69" s="527"/>
      <c r="L69" s="568"/>
      <c r="M69" s="351" t="s">
        <v>453</v>
      </c>
    </row>
    <row r="70" spans="2:13" ht="17" x14ac:dyDescent="0.25">
      <c r="C70" s="462" t="s">
        <v>519</v>
      </c>
      <c r="D70" s="462" t="s">
        <v>300</v>
      </c>
      <c r="E70" s="464" t="s">
        <v>284</v>
      </c>
      <c r="F70" s="461" t="s">
        <v>248</v>
      </c>
      <c r="G70" s="465" t="s">
        <v>301</v>
      </c>
      <c r="H70" s="465">
        <v>2</v>
      </c>
      <c r="I70" s="461"/>
      <c r="J70" s="528">
        <v>12</v>
      </c>
      <c r="K70" s="527"/>
      <c r="L70" s="568"/>
      <c r="M70" s="351" t="s">
        <v>453</v>
      </c>
    </row>
    <row r="71" spans="2:13" ht="17" x14ac:dyDescent="0.25">
      <c r="C71" s="462" t="s">
        <v>520</v>
      </c>
      <c r="D71" s="462" t="s">
        <v>300</v>
      </c>
      <c r="E71" s="464" t="s">
        <v>252</v>
      </c>
      <c r="F71" s="461" t="s">
        <v>248</v>
      </c>
      <c r="G71" s="465" t="s">
        <v>301</v>
      </c>
      <c r="H71" s="465">
        <v>2</v>
      </c>
      <c r="I71" s="461"/>
      <c r="J71" s="528">
        <v>6</v>
      </c>
      <c r="K71" s="527"/>
      <c r="L71" s="568"/>
      <c r="M71" s="351" t="s">
        <v>521</v>
      </c>
    </row>
    <row r="72" spans="2:13" ht="17" x14ac:dyDescent="0.25">
      <c r="C72" s="462" t="s">
        <v>522</v>
      </c>
      <c r="D72" s="462" t="s">
        <v>310</v>
      </c>
      <c r="E72" s="464" t="s">
        <v>247</v>
      </c>
      <c r="F72" s="461" t="s">
        <v>248</v>
      </c>
      <c r="G72" s="465" t="s">
        <v>311</v>
      </c>
      <c r="H72" s="465">
        <v>2</v>
      </c>
      <c r="I72" s="461" t="s">
        <v>523</v>
      </c>
      <c r="J72" s="528"/>
      <c r="K72" s="528"/>
      <c r="L72" s="568"/>
      <c r="M72" s="351" t="s">
        <v>524</v>
      </c>
    </row>
    <row r="73" spans="2:13" ht="17" x14ac:dyDescent="0.25">
      <c r="C73" s="462" t="s">
        <v>525</v>
      </c>
      <c r="D73" s="462" t="s">
        <v>310</v>
      </c>
      <c r="E73" s="464" t="s">
        <v>252</v>
      </c>
      <c r="F73" s="461" t="s">
        <v>248</v>
      </c>
      <c r="G73" s="465" t="s">
        <v>311</v>
      </c>
      <c r="H73" s="465">
        <v>2</v>
      </c>
      <c r="I73" s="461" t="s">
        <v>523</v>
      </c>
      <c r="J73" s="528"/>
      <c r="K73" s="528"/>
      <c r="L73" s="568"/>
      <c r="M73" s="351" t="s">
        <v>427</v>
      </c>
    </row>
    <row r="74" spans="2:13" ht="51" x14ac:dyDescent="0.25">
      <c r="C74" s="582" t="s">
        <v>526</v>
      </c>
      <c r="D74" s="582"/>
      <c r="E74" s="583"/>
      <c r="F74" s="582"/>
      <c r="G74" s="584"/>
      <c r="H74" s="584"/>
      <c r="I74" s="585" t="s">
        <v>527</v>
      </c>
      <c r="J74" s="551"/>
      <c r="K74" s="551"/>
      <c r="L74" s="586"/>
      <c r="M74" s="587"/>
    </row>
    <row r="75" spans="2:13" ht="17" x14ac:dyDescent="0.25">
      <c r="C75" s="582" t="s">
        <v>528</v>
      </c>
      <c r="D75" s="582"/>
      <c r="E75" s="583"/>
      <c r="F75" s="548"/>
      <c r="G75" s="588"/>
      <c r="H75" s="588"/>
      <c r="I75" s="548" t="s">
        <v>321</v>
      </c>
      <c r="J75" s="551"/>
      <c r="K75" s="551"/>
      <c r="L75" s="589"/>
      <c r="M75" s="587"/>
    </row>
    <row r="76" spans="2:13" ht="17" x14ac:dyDescent="0.25">
      <c r="C76" s="582" t="s">
        <v>529</v>
      </c>
      <c r="D76" s="582"/>
      <c r="E76" s="583"/>
      <c r="F76" s="548"/>
      <c r="G76" s="588"/>
      <c r="H76" s="588"/>
      <c r="I76" s="548" t="s">
        <v>321</v>
      </c>
      <c r="J76" s="551"/>
      <c r="K76" s="551"/>
      <c r="L76" s="589"/>
      <c r="M76" s="587"/>
    </row>
    <row r="77" spans="2:13" ht="17" x14ac:dyDescent="0.25">
      <c r="C77" s="582" t="s">
        <v>530</v>
      </c>
      <c r="D77" s="582"/>
      <c r="E77" s="583"/>
      <c r="F77" s="548"/>
      <c r="G77" s="588"/>
      <c r="H77" s="588"/>
      <c r="I77" s="548" t="s">
        <v>321</v>
      </c>
      <c r="J77" s="551"/>
      <c r="K77" s="551"/>
      <c r="L77" s="589"/>
      <c r="M77" s="587"/>
    </row>
    <row r="78" spans="2:13" x14ac:dyDescent="0.2">
      <c r="B78" s="228">
        <f>SUM(B61:B77)</f>
        <v>2</v>
      </c>
      <c r="J78" s="443">
        <f>SUM(J61:J62)</f>
        <v>60</v>
      </c>
    </row>
  </sheetData>
  <sheetProtection algorithmName="SHA-512" hashValue="lJ2euKOwZEdJTDJlcLHa0K1L3hYZ2L/9gL+YJu7StKe+7zjVfx68uI2dQcgOeYrMDmkLCp4Q3KKZToibNdidSQ==" saltValue="/DmoEBUuiWPRNA0/Raf5yQ==" spinCount="100000" sheet="1" objects="1" scenarios="1"/>
  <sortState xmlns:xlrd2="http://schemas.microsoft.com/office/spreadsheetml/2017/richdata2" ref="C21:J26">
    <sortCondition ref="C21:C26"/>
  </sortState>
  <mergeCells count="6">
    <mergeCell ref="J46:J54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7E455F-FD21-411E-9D1A-BC8430AA1187}">
          <x14:formula1>
            <xm:f>'Data Elements'!$F$3:$F$31</xm:f>
          </x14:formula1>
          <xm:sqref>D2</xm:sqref>
        </x14:dataValidation>
        <x14:dataValidation type="list" allowBlank="1" showInputMessage="1" showErrorMessage="1" xr:uid="{C6730CB1-F525-492B-B881-4BD892A8AA57}">
          <x14:formula1>
            <xm:f>'Data Elements'!$A$3:$A$101</xm:f>
          </x14:formula1>
          <xm:sqref>C35</xm:sqref>
        </x14:dataValidation>
        <x14:dataValidation type="list" allowBlank="1" showInputMessage="1" showErrorMessage="1" xr:uid="{96855BA5-3573-4F58-BB9F-9C0A4A173A1D}">
          <x14:formula1>
            <xm:f>'Data Elements'!$A$3:$A$179</xm:f>
          </x14:formula1>
          <xm:sqref>C39:C42 C21:C34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3108-BD56-4AC1-9243-C56E9BC2EA6D}">
  <sheetPr>
    <tabColor rgb="FF000000"/>
  </sheetPr>
  <dimension ref="A1:M75"/>
  <sheetViews>
    <sheetView topLeftCell="D29" workbookViewId="0">
      <selection activeCell="H50" sqref="H50"/>
    </sheetView>
    <sheetView topLeftCell="C1" workbookViewId="1">
      <selection activeCell="J33" sqref="J33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7.1640625" customWidth="1"/>
    <col min="4" max="4" width="31.6640625" customWidth="1"/>
    <col min="5" max="5" width="22.1640625" customWidth="1"/>
    <col min="6" max="6" width="15.5" customWidth="1"/>
    <col min="7" max="7" width="22.33203125" customWidth="1"/>
    <col min="8" max="8" width="21.6640625" customWidth="1"/>
    <col min="9" max="9" width="12.83203125" customWidth="1"/>
    <col min="10" max="10" width="89.832031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60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8.5</v>
      </c>
      <c r="E4" s="155" t="s">
        <v>184</v>
      </c>
    </row>
    <row r="5" spans="1:10" x14ac:dyDescent="0.2">
      <c r="B5" s="1177"/>
      <c r="C5" s="12" t="s">
        <v>185</v>
      </c>
      <c r="D5" s="13">
        <f>VLOOKUP($D$2,Overview!$A$4:$AC$31,20,0)</f>
        <v>240.45000000000002</v>
      </c>
      <c r="E5" s="11"/>
    </row>
    <row r="6" spans="1:10" ht="17" thickBot="1" x14ac:dyDescent="0.25">
      <c r="B6" s="1177"/>
      <c r="C6" s="14" t="s">
        <v>9</v>
      </c>
      <c r="D6" s="15">
        <f>VLOOKUP($D$2,Overview!$A$4:$AC$31,18,0)</f>
        <v>14.227810650887577</v>
      </c>
    </row>
    <row r="7" spans="1:10" x14ac:dyDescent="0.2">
      <c r="B7" s="1180" t="s">
        <v>186</v>
      </c>
      <c r="C7" s="16" t="s">
        <v>187</v>
      </c>
      <c r="D7" s="173">
        <v>8.5</v>
      </c>
      <c r="E7" s="155" t="s">
        <v>184</v>
      </c>
    </row>
    <row r="8" spans="1:10" x14ac:dyDescent="0.2">
      <c r="B8" s="1180"/>
      <c r="C8" s="17" t="s">
        <v>188</v>
      </c>
      <c r="D8" s="18">
        <f>VLOOKUP($D$2,Overview!$A$4:$AC$31,28,0)</f>
        <v>217.54999999999998</v>
      </c>
    </row>
    <row r="9" spans="1:10" ht="17" thickBot="1" x14ac:dyDescent="0.25">
      <c r="B9" s="1180"/>
      <c r="C9" s="19" t="s">
        <v>10</v>
      </c>
      <c r="D9" s="20">
        <f>VLOOKUP($D$2,Overview!$A$4:$AC$31,26,0)</f>
        <v>12.872781065088757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71" t="s">
        <v>531</v>
      </c>
      <c r="D21" s="118"/>
      <c r="E21" s="118">
        <v>3</v>
      </c>
      <c r="F21" s="118">
        <v>3</v>
      </c>
      <c r="G21" s="119"/>
      <c r="H21" s="119"/>
      <c r="I21" s="120"/>
      <c r="J21" s="337" t="s">
        <v>532</v>
      </c>
    </row>
    <row r="22" spans="2:10" x14ac:dyDescent="0.2">
      <c r="B22" s="36">
        <v>2</v>
      </c>
      <c r="C22" s="271" t="s">
        <v>533</v>
      </c>
      <c r="D22" s="121">
        <v>3</v>
      </c>
      <c r="E22" s="121"/>
      <c r="F22" s="121">
        <v>6</v>
      </c>
      <c r="G22" s="122"/>
      <c r="H22" s="122"/>
      <c r="I22" s="122"/>
      <c r="J22" s="338" t="s">
        <v>534</v>
      </c>
    </row>
    <row r="23" spans="2:10" x14ac:dyDescent="0.2">
      <c r="B23" s="36">
        <v>3</v>
      </c>
      <c r="C23" s="850" t="s">
        <v>535</v>
      </c>
      <c r="D23" s="121"/>
      <c r="E23" s="121"/>
      <c r="F23" s="121"/>
      <c r="G23" s="122"/>
      <c r="H23" s="122"/>
      <c r="I23" s="122"/>
      <c r="J23" s="338"/>
    </row>
    <row r="24" spans="2:10" x14ac:dyDescent="0.2">
      <c r="B24" s="34">
        <v>4</v>
      </c>
      <c r="C24" s="227" t="s">
        <v>536</v>
      </c>
      <c r="D24" s="121"/>
      <c r="E24" s="121"/>
      <c r="F24" s="121"/>
      <c r="G24" s="122"/>
      <c r="H24" s="122"/>
      <c r="I24" s="122"/>
      <c r="J24" s="338"/>
    </row>
    <row r="25" spans="2:10" x14ac:dyDescent="0.2">
      <c r="B25" s="36">
        <v>5</v>
      </c>
      <c r="C25" s="271" t="s">
        <v>537</v>
      </c>
      <c r="D25" s="121"/>
      <c r="E25" s="121">
        <v>3</v>
      </c>
      <c r="F25" s="121">
        <v>3</v>
      </c>
      <c r="G25" s="122"/>
      <c r="H25" s="122"/>
      <c r="I25" s="122"/>
      <c r="J25" s="338" t="s">
        <v>538</v>
      </c>
    </row>
    <row r="26" spans="2:10" x14ac:dyDescent="0.2">
      <c r="B26" s="36">
        <v>6</v>
      </c>
      <c r="C26" s="271" t="s">
        <v>539</v>
      </c>
      <c r="D26" s="121"/>
      <c r="E26" s="121"/>
      <c r="F26" s="121"/>
      <c r="G26" s="122"/>
      <c r="H26" s="122"/>
      <c r="I26" s="122"/>
      <c r="J26" s="338"/>
    </row>
    <row r="27" spans="2:10" x14ac:dyDescent="0.2">
      <c r="B27" s="34">
        <v>7</v>
      </c>
      <c r="C27" s="271" t="s">
        <v>540</v>
      </c>
      <c r="D27" s="121"/>
      <c r="E27" s="121"/>
      <c r="F27" s="121"/>
      <c r="G27" s="122"/>
      <c r="H27" s="122"/>
      <c r="I27" s="122"/>
      <c r="J27" s="338"/>
    </row>
    <row r="28" spans="2:10" x14ac:dyDescent="0.2">
      <c r="B28" s="36">
        <v>8</v>
      </c>
      <c r="C28" s="271" t="s">
        <v>541</v>
      </c>
      <c r="D28" s="121"/>
      <c r="E28" s="121">
        <v>3</v>
      </c>
      <c r="F28" s="121"/>
      <c r="G28" s="122"/>
      <c r="H28" s="122"/>
      <c r="I28" s="122"/>
      <c r="J28" s="338" t="s">
        <v>542</v>
      </c>
    </row>
    <row r="29" spans="2:10" x14ac:dyDescent="0.2">
      <c r="B29" s="36">
        <v>9</v>
      </c>
      <c r="C29" s="271" t="s">
        <v>543</v>
      </c>
      <c r="D29" s="121">
        <v>6</v>
      </c>
      <c r="E29" s="121"/>
      <c r="F29" s="121">
        <v>3</v>
      </c>
      <c r="G29" s="122"/>
      <c r="H29" s="122"/>
      <c r="I29" s="122"/>
      <c r="J29" s="38" t="s">
        <v>544</v>
      </c>
    </row>
    <row r="30" spans="2:10" x14ac:dyDescent="0.2">
      <c r="B30" s="34">
        <v>10</v>
      </c>
      <c r="C30" s="37" t="s">
        <v>344</v>
      </c>
      <c r="D30" s="121"/>
      <c r="E30" s="121">
        <v>3</v>
      </c>
      <c r="F30" s="121"/>
      <c r="G30" s="122"/>
      <c r="H30" s="122">
        <v>3</v>
      </c>
      <c r="I30" s="122"/>
      <c r="J30" s="38" t="s">
        <v>545</v>
      </c>
    </row>
    <row r="31" spans="2:10" x14ac:dyDescent="0.2">
      <c r="B31" s="36">
        <v>11</v>
      </c>
      <c r="C31" s="37" t="s">
        <v>344</v>
      </c>
      <c r="D31" s="121"/>
      <c r="E31" s="121"/>
      <c r="F31" s="121"/>
      <c r="G31" s="122"/>
      <c r="H31" s="122">
        <v>3</v>
      </c>
      <c r="I31" s="122"/>
      <c r="J31" s="38" t="s">
        <v>546</v>
      </c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4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ht="17" thickBot="1" x14ac:dyDescent="0.25">
      <c r="B35" s="36">
        <v>15</v>
      </c>
      <c r="C35" s="40"/>
      <c r="D35" s="123"/>
      <c r="E35" s="123"/>
      <c r="F35" s="123"/>
      <c r="G35" s="124"/>
      <c r="H35" s="124"/>
      <c r="I35" s="124"/>
      <c r="J35" s="41"/>
    </row>
    <row r="36" spans="2:10" s="11" customFormat="1" ht="21" thickTop="1" thickBot="1" x14ac:dyDescent="0.3">
      <c r="B36" s="42"/>
      <c r="C36" s="43" t="s">
        <v>209</v>
      </c>
      <c r="D36" s="128">
        <f t="shared" ref="D36:I36" si="0">SUM(D21:D35)</f>
        <v>9</v>
      </c>
      <c r="E36" s="128">
        <f t="shared" si="0"/>
        <v>12</v>
      </c>
      <c r="F36" s="128">
        <f t="shared" si="0"/>
        <v>15</v>
      </c>
      <c r="G36" s="129">
        <f t="shared" si="0"/>
        <v>0</v>
      </c>
      <c r="H36" s="129">
        <f t="shared" si="0"/>
        <v>6</v>
      </c>
      <c r="I36" s="129">
        <f t="shared" si="0"/>
        <v>0</v>
      </c>
      <c r="J36" s="44"/>
    </row>
    <row r="37" spans="2:10" s="11" customFormat="1" ht="6" customHeight="1" thickBot="1" x14ac:dyDescent="0.3">
      <c r="B37" s="45"/>
      <c r="C37" s="46"/>
      <c r="D37" s="125"/>
      <c r="E37" s="125"/>
      <c r="F37" s="125"/>
      <c r="G37" s="125"/>
      <c r="H37" s="125"/>
      <c r="I37" s="125"/>
      <c r="J37" s="47"/>
    </row>
    <row r="38" spans="2:10" s="1" customFormat="1" x14ac:dyDescent="0.2">
      <c r="B38" s="48"/>
      <c r="C38" s="175" t="s">
        <v>275</v>
      </c>
      <c r="D38" s="50" t="s">
        <v>196</v>
      </c>
      <c r="E38" s="50" t="s">
        <v>43</v>
      </c>
      <c r="F38" s="50" t="s">
        <v>197</v>
      </c>
      <c r="G38" s="51" t="s">
        <v>196</v>
      </c>
      <c r="H38" s="51" t="s">
        <v>198</v>
      </c>
      <c r="I38" s="51" t="s">
        <v>197</v>
      </c>
      <c r="J38" s="52" t="s">
        <v>199</v>
      </c>
    </row>
    <row r="39" spans="2:10" ht="16.25" customHeight="1" x14ac:dyDescent="0.2">
      <c r="B39" s="284">
        <v>1</v>
      </c>
      <c r="C39" s="351" t="s">
        <v>547</v>
      </c>
      <c r="D39" s="285">
        <v>3</v>
      </c>
      <c r="E39" s="121">
        <v>3</v>
      </c>
      <c r="F39" s="121">
        <v>3</v>
      </c>
      <c r="G39" s="126"/>
      <c r="H39" s="126">
        <v>3</v>
      </c>
      <c r="I39" s="126"/>
      <c r="J39" s="38" t="s">
        <v>548</v>
      </c>
    </row>
    <row r="40" spans="2:10" x14ac:dyDescent="0.2">
      <c r="B40" s="284">
        <v>2</v>
      </c>
      <c r="C40" s="352" t="s">
        <v>549</v>
      </c>
      <c r="D40" s="285">
        <v>3</v>
      </c>
      <c r="E40" s="121"/>
      <c r="F40" s="121">
        <v>12</v>
      </c>
      <c r="G40" s="126"/>
      <c r="H40" s="126"/>
      <c r="I40" s="126"/>
      <c r="J40" s="41" t="s">
        <v>550</v>
      </c>
    </row>
    <row r="41" spans="2:10" x14ac:dyDescent="0.2">
      <c r="B41" s="284">
        <v>3</v>
      </c>
      <c r="C41" s="351" t="s">
        <v>551</v>
      </c>
      <c r="D41" s="285"/>
      <c r="E41" s="121"/>
      <c r="F41" s="121">
        <v>12</v>
      </c>
      <c r="G41" s="126"/>
      <c r="H41" s="126"/>
      <c r="I41" s="126">
        <v>12</v>
      </c>
      <c r="J41" s="38" t="s">
        <v>552</v>
      </c>
    </row>
    <row r="42" spans="2:10" x14ac:dyDescent="0.2">
      <c r="B42" s="349">
        <v>4</v>
      </c>
      <c r="C42" s="352"/>
      <c r="D42" s="290"/>
      <c r="E42" s="123"/>
      <c r="F42" s="123"/>
      <c r="G42" s="127"/>
      <c r="H42" s="127"/>
      <c r="I42" s="127"/>
      <c r="J42" s="41"/>
    </row>
    <row r="43" spans="2:10" s="11" customFormat="1" ht="19" x14ac:dyDescent="0.25">
      <c r="B43" s="42"/>
      <c r="C43" s="43" t="s">
        <v>214</v>
      </c>
      <c r="D43" s="128">
        <f>SUM(D39:D42)</f>
        <v>6</v>
      </c>
      <c r="E43" s="128">
        <f t="shared" ref="E43:F43" si="1">SUM(E39:E42)</f>
        <v>3</v>
      </c>
      <c r="F43" s="128">
        <f t="shared" si="1"/>
        <v>27</v>
      </c>
      <c r="G43" s="129">
        <f>SUM(G39:G42)</f>
        <v>0</v>
      </c>
      <c r="H43" s="129">
        <f t="shared" ref="H43:I43" si="2">SUM(H39:H42)</f>
        <v>3</v>
      </c>
      <c r="I43" s="129">
        <f t="shared" si="2"/>
        <v>12</v>
      </c>
      <c r="J43" s="53">
        <f>SUM(D43:I43)</f>
        <v>51</v>
      </c>
    </row>
    <row r="44" spans="2:10" ht="6" customHeight="1" thickBot="1" x14ac:dyDescent="0.25"/>
    <row r="45" spans="2:10" s="54" customFormat="1" ht="19" x14ac:dyDescent="0.25">
      <c r="B45" s="229" t="s">
        <v>215</v>
      </c>
      <c r="D45" s="72"/>
      <c r="E45" s="72" t="s">
        <v>182</v>
      </c>
      <c r="F45" s="72"/>
      <c r="G45" s="55"/>
      <c r="H45" s="55" t="s">
        <v>186</v>
      </c>
      <c r="I45" s="55"/>
      <c r="J45" s="56" t="s">
        <v>216</v>
      </c>
    </row>
    <row r="46" spans="2:10" s="57" customFormat="1" ht="19" x14ac:dyDescent="0.25">
      <c r="B46" s="231">
        <f>SUM(E46:H46)</f>
        <v>162</v>
      </c>
      <c r="D46" s="58" t="s">
        <v>217</v>
      </c>
      <c r="E46" s="224">
        <f>($D$4*12)-D36-E36-F36</f>
        <v>66</v>
      </c>
      <c r="H46" s="111">
        <f>($D$7*12)-G36-H36-I36</f>
        <v>96</v>
      </c>
      <c r="I46" s="359"/>
      <c r="J46" s="1189"/>
    </row>
    <row r="47" spans="2:10" s="57" customFormat="1" ht="19" x14ac:dyDescent="0.25">
      <c r="B47" s="231">
        <f t="shared" ref="B47:B48" si="3">SUM(E47:H47)</f>
        <v>33</v>
      </c>
      <c r="C47" s="58"/>
      <c r="D47" s="58" t="s">
        <v>218</v>
      </c>
      <c r="E47" s="224">
        <f>+E36+F36</f>
        <v>27</v>
      </c>
      <c r="H47" s="111">
        <f>+H36+I36</f>
        <v>6</v>
      </c>
      <c r="I47" s="359"/>
      <c r="J47" s="1185"/>
    </row>
    <row r="48" spans="2:10" s="57" customFormat="1" ht="19" x14ac:dyDescent="0.25">
      <c r="B48" s="231">
        <f t="shared" si="3"/>
        <v>145.50887573964502</v>
      </c>
      <c r="C48" s="58"/>
      <c r="D48" s="58" t="s">
        <v>219</v>
      </c>
      <c r="E48" s="224">
        <f>(($D$6-$D$4)*15)-D43</f>
        <v>79.917159763313649</v>
      </c>
      <c r="H48" s="111">
        <f>(($D$9-$D$7)*15)-$G$44</f>
        <v>65.591715976331358</v>
      </c>
      <c r="J48" s="1185"/>
    </row>
    <row r="49" spans="2:13" s="57" customFormat="1" ht="19" x14ac:dyDescent="0.25">
      <c r="B49" s="230">
        <f>SUM(E49:H49)</f>
        <v>340.50887573964496</v>
      </c>
      <c r="C49" s="59"/>
      <c r="D49" s="59" t="s">
        <v>220</v>
      </c>
      <c r="E49" s="106">
        <f>SUM(E46:E48)</f>
        <v>172.91715976331363</v>
      </c>
      <c r="H49" s="112">
        <f>SUM(H46:H48)</f>
        <v>167.59171597633136</v>
      </c>
      <c r="J49" s="1185"/>
    </row>
    <row r="50" spans="2:13" s="60" customFormat="1" ht="19" x14ac:dyDescent="0.25">
      <c r="C50" s="61"/>
      <c r="D50" s="62" t="s">
        <v>221</v>
      </c>
      <c r="E50" s="107"/>
      <c r="H50" s="113">
        <f>-E50</f>
        <v>0</v>
      </c>
      <c r="J50" s="1185"/>
    </row>
    <row r="51" spans="2:13" s="57" customFormat="1" ht="19" x14ac:dyDescent="0.25">
      <c r="D51" s="63" t="s">
        <v>222</v>
      </c>
      <c r="E51" s="108">
        <f>SUM(E49:E50)</f>
        <v>172.91715976331363</v>
      </c>
      <c r="G51" s="63"/>
      <c r="H51" s="114">
        <f>SUM(H49:H50)</f>
        <v>167.59171597633136</v>
      </c>
      <c r="I51" s="64"/>
      <c r="J51" s="1185"/>
    </row>
    <row r="52" spans="2:13" s="57" customFormat="1" ht="19" x14ac:dyDescent="0.25">
      <c r="D52" s="201" t="s">
        <v>278</v>
      </c>
      <c r="E52" s="202">
        <v>171</v>
      </c>
      <c r="F52" s="383" t="s">
        <v>224</v>
      </c>
      <c r="G52" s="204"/>
      <c r="H52" s="115"/>
      <c r="I52" s="359"/>
      <c r="J52" s="1185"/>
    </row>
    <row r="53" spans="2:13" s="57" customFormat="1" ht="19" x14ac:dyDescent="0.25">
      <c r="D53" s="71" t="s">
        <v>225</v>
      </c>
      <c r="E53" s="109">
        <f>E52-E51</f>
        <v>-1.9171597633136344</v>
      </c>
      <c r="G53" s="65"/>
      <c r="H53" s="116">
        <f>H52-H51</f>
        <v>-167.59171597633136</v>
      </c>
      <c r="I53" s="66"/>
      <c r="J53" s="1185"/>
    </row>
    <row r="54" spans="2:13" s="57" customFormat="1" ht="19" x14ac:dyDescent="0.25">
      <c r="D54" s="66" t="s">
        <v>226</v>
      </c>
      <c r="E54" s="105">
        <f>IFERROR(($D$5*5)/(E51/3),0)</f>
        <v>20.858253772713272</v>
      </c>
      <c r="H54" s="117">
        <f>IFERROR(5*$D$8/(H51/3),0)</f>
        <v>19.47142781485012</v>
      </c>
      <c r="J54" s="1185"/>
    </row>
    <row r="56" spans="2:13" x14ac:dyDescent="0.2">
      <c r="D56" t="s">
        <v>227</v>
      </c>
      <c r="E56" s="152">
        <f>+E47+E48+H47+D43+E43+F43+G43+H43+I43+H48</f>
        <v>229.50887573964499</v>
      </c>
      <c r="F56" s="11" t="s">
        <v>228</v>
      </c>
    </row>
    <row r="57" spans="2:13" x14ac:dyDescent="0.2">
      <c r="E57" s="952">
        <f>E56*2507</f>
        <v>575378.75147928996</v>
      </c>
    </row>
    <row r="59" spans="2:13" ht="68" x14ac:dyDescent="0.25">
      <c r="B59" s="232" t="s">
        <v>279</v>
      </c>
      <c r="C59" s="596" t="s">
        <v>230</v>
      </c>
      <c r="D59" s="457" t="s">
        <v>280</v>
      </c>
      <c r="E59" s="458" t="s">
        <v>234</v>
      </c>
      <c r="F59" s="456" t="s">
        <v>235</v>
      </c>
      <c r="G59" s="459" t="s">
        <v>236</v>
      </c>
      <c r="H59" s="459" t="s">
        <v>237</v>
      </c>
      <c r="I59" s="459" t="s">
        <v>238</v>
      </c>
      <c r="J59" s="458" t="s">
        <v>281</v>
      </c>
      <c r="K59" s="458" t="s">
        <v>282</v>
      </c>
      <c r="L59" s="458" t="s">
        <v>243</v>
      </c>
      <c r="M59" s="460" t="s">
        <v>244</v>
      </c>
    </row>
    <row r="60" spans="2:13" ht="17" x14ac:dyDescent="0.25">
      <c r="B60">
        <v>1</v>
      </c>
      <c r="C60" s="590" t="s">
        <v>553</v>
      </c>
      <c r="D60" s="590" t="s">
        <v>246</v>
      </c>
      <c r="E60" s="591" t="s">
        <v>284</v>
      </c>
      <c r="F60" s="556" t="s">
        <v>285</v>
      </c>
      <c r="G60" s="610">
        <v>1</v>
      </c>
      <c r="H60" s="610" t="s">
        <v>249</v>
      </c>
      <c r="I60" s="611"/>
      <c r="J60" s="559">
        <v>30</v>
      </c>
      <c r="K60" s="559"/>
      <c r="L60" s="612"/>
      <c r="M60" s="613" t="s">
        <v>249</v>
      </c>
    </row>
    <row r="61" spans="2:13" ht="17" x14ac:dyDescent="0.25">
      <c r="B61">
        <v>1</v>
      </c>
      <c r="C61" s="590" t="s">
        <v>554</v>
      </c>
      <c r="D61" s="590" t="s">
        <v>246</v>
      </c>
      <c r="E61" s="591" t="s">
        <v>284</v>
      </c>
      <c r="F61" s="556" t="s">
        <v>285</v>
      </c>
      <c r="G61" s="610">
        <v>1</v>
      </c>
      <c r="H61" s="610" t="s">
        <v>249</v>
      </c>
      <c r="I61" s="614"/>
      <c r="J61" s="559">
        <v>30</v>
      </c>
      <c r="K61" s="559"/>
      <c r="L61" s="612"/>
      <c r="M61" s="613" t="s">
        <v>249</v>
      </c>
    </row>
    <row r="62" spans="2:13" ht="17" x14ac:dyDescent="0.25">
      <c r="B62">
        <v>1</v>
      </c>
      <c r="C62" s="615" t="s">
        <v>555</v>
      </c>
      <c r="D62" s="590" t="s">
        <v>246</v>
      </c>
      <c r="E62" s="591" t="s">
        <v>284</v>
      </c>
      <c r="F62" s="556" t="s">
        <v>285</v>
      </c>
      <c r="G62" s="610">
        <v>1</v>
      </c>
      <c r="H62" s="610" t="s">
        <v>249</v>
      </c>
      <c r="I62" s="614"/>
      <c r="J62" s="559">
        <v>30</v>
      </c>
      <c r="K62" s="559"/>
      <c r="L62" s="612"/>
      <c r="M62" s="613" t="s">
        <v>249</v>
      </c>
    </row>
    <row r="63" spans="2:13" ht="51" x14ac:dyDescent="0.25">
      <c r="B63">
        <v>1</v>
      </c>
      <c r="C63" s="615" t="s">
        <v>556</v>
      </c>
      <c r="D63" s="590" t="s">
        <v>287</v>
      </c>
      <c r="E63" s="591" t="s">
        <v>284</v>
      </c>
      <c r="F63" s="556" t="s">
        <v>285</v>
      </c>
      <c r="G63" s="610">
        <v>1</v>
      </c>
      <c r="H63" s="610" t="s">
        <v>249</v>
      </c>
      <c r="I63" s="611" t="s">
        <v>420</v>
      </c>
      <c r="J63" s="559">
        <v>30</v>
      </c>
      <c r="K63" s="559"/>
      <c r="L63" s="612"/>
      <c r="M63" s="613" t="s">
        <v>249</v>
      </c>
    </row>
    <row r="64" spans="2:13" ht="204" x14ac:dyDescent="0.25">
      <c r="B64">
        <v>1</v>
      </c>
      <c r="C64" s="590" t="s">
        <v>557</v>
      </c>
      <c r="D64" s="615" t="s">
        <v>246</v>
      </c>
      <c r="E64" s="591" t="s">
        <v>368</v>
      </c>
      <c r="F64" s="556" t="s">
        <v>285</v>
      </c>
      <c r="G64" s="610">
        <v>1</v>
      </c>
      <c r="H64" s="610" t="s">
        <v>249</v>
      </c>
      <c r="I64" s="611" t="s">
        <v>558</v>
      </c>
      <c r="J64" s="559">
        <v>30</v>
      </c>
      <c r="K64" s="559"/>
      <c r="L64" s="612"/>
      <c r="M64" s="613" t="s">
        <v>249</v>
      </c>
    </row>
    <row r="65" spans="2:13" ht="17" x14ac:dyDescent="0.25">
      <c r="B65">
        <v>1</v>
      </c>
      <c r="C65" s="590" t="s">
        <v>559</v>
      </c>
      <c r="D65" s="590" t="s">
        <v>251</v>
      </c>
      <c r="E65" s="591" t="s">
        <v>252</v>
      </c>
      <c r="F65" s="556" t="s">
        <v>285</v>
      </c>
      <c r="G65" s="610">
        <v>1</v>
      </c>
      <c r="H65" s="610" t="s">
        <v>249</v>
      </c>
      <c r="I65" s="611"/>
      <c r="J65" s="559">
        <v>30</v>
      </c>
      <c r="K65" s="559"/>
      <c r="L65" s="612"/>
      <c r="M65" s="613" t="s">
        <v>249</v>
      </c>
    </row>
    <row r="66" spans="2:13" ht="51" x14ac:dyDescent="0.25">
      <c r="B66">
        <v>1</v>
      </c>
      <c r="C66" s="590" t="s">
        <v>560</v>
      </c>
      <c r="D66" s="590" t="s">
        <v>251</v>
      </c>
      <c r="E66" s="591" t="s">
        <v>284</v>
      </c>
      <c r="F66" s="556" t="s">
        <v>285</v>
      </c>
      <c r="G66" s="610">
        <v>1</v>
      </c>
      <c r="H66" s="610" t="s">
        <v>249</v>
      </c>
      <c r="I66" s="611" t="s">
        <v>509</v>
      </c>
      <c r="J66" s="559">
        <v>30</v>
      </c>
      <c r="K66" s="559"/>
      <c r="L66" s="612"/>
      <c r="M66" s="613" t="s">
        <v>249</v>
      </c>
    </row>
    <row r="67" spans="2:13" ht="17" x14ac:dyDescent="0.25">
      <c r="C67" s="602" t="s">
        <v>561</v>
      </c>
      <c r="D67" s="462" t="s">
        <v>251</v>
      </c>
      <c r="E67" s="464" t="s">
        <v>284</v>
      </c>
      <c r="F67" s="461" t="s">
        <v>248</v>
      </c>
      <c r="G67" s="597">
        <v>3</v>
      </c>
      <c r="H67" s="597">
        <v>1</v>
      </c>
      <c r="I67" s="598"/>
      <c r="J67" s="528">
        <v>12</v>
      </c>
      <c r="K67" s="528"/>
      <c r="L67" s="529"/>
      <c r="M67" s="470" t="s">
        <v>249</v>
      </c>
    </row>
    <row r="68" spans="2:13" ht="51" x14ac:dyDescent="0.25">
      <c r="B68">
        <v>1</v>
      </c>
      <c r="C68" s="590" t="s">
        <v>562</v>
      </c>
      <c r="D68" s="615" t="s">
        <v>246</v>
      </c>
      <c r="E68" s="591" t="s">
        <v>284</v>
      </c>
      <c r="F68" s="556" t="s">
        <v>285</v>
      </c>
      <c r="G68" s="610">
        <v>3</v>
      </c>
      <c r="H68" s="610">
        <v>1</v>
      </c>
      <c r="I68" s="611" t="s">
        <v>509</v>
      </c>
      <c r="J68" s="559">
        <v>24</v>
      </c>
      <c r="K68" s="559"/>
      <c r="L68" s="612"/>
      <c r="M68" s="613" t="s">
        <v>249</v>
      </c>
    </row>
    <row r="69" spans="2:13" ht="51" x14ac:dyDescent="0.25">
      <c r="C69" s="602" t="s">
        <v>563</v>
      </c>
      <c r="D69" s="462" t="s">
        <v>287</v>
      </c>
      <c r="E69" s="464" t="s">
        <v>252</v>
      </c>
      <c r="F69" s="461" t="s">
        <v>248</v>
      </c>
      <c r="G69" s="597">
        <v>3</v>
      </c>
      <c r="H69" s="597">
        <v>1</v>
      </c>
      <c r="I69" s="598" t="s">
        <v>564</v>
      </c>
      <c r="J69" s="528">
        <v>6</v>
      </c>
      <c r="K69" s="528"/>
      <c r="L69" s="599"/>
      <c r="M69" s="470" t="s">
        <v>249</v>
      </c>
    </row>
    <row r="70" spans="2:13" ht="17" x14ac:dyDescent="0.25">
      <c r="C70" s="601" t="s">
        <v>565</v>
      </c>
      <c r="D70" s="462" t="s">
        <v>566</v>
      </c>
      <c r="E70" s="464" t="s">
        <v>252</v>
      </c>
      <c r="F70" s="461" t="s">
        <v>248</v>
      </c>
      <c r="G70" s="603" t="s">
        <v>311</v>
      </c>
      <c r="H70" s="597">
        <v>2</v>
      </c>
      <c r="I70" s="598"/>
      <c r="J70" s="528">
        <v>30</v>
      </c>
      <c r="K70" s="528"/>
      <c r="L70" s="466"/>
      <c r="M70" s="470" t="s">
        <v>424</v>
      </c>
    </row>
    <row r="71" spans="2:13" ht="17" x14ac:dyDescent="0.25">
      <c r="C71" s="601" t="s">
        <v>567</v>
      </c>
      <c r="D71" s="462" t="s">
        <v>300</v>
      </c>
      <c r="E71" s="464" t="s">
        <v>252</v>
      </c>
      <c r="F71" s="461" t="s">
        <v>248</v>
      </c>
      <c r="G71" s="603" t="s">
        <v>301</v>
      </c>
      <c r="H71" s="597">
        <v>2</v>
      </c>
      <c r="I71" s="598"/>
      <c r="J71" s="528">
        <v>21</v>
      </c>
      <c r="K71" s="528"/>
      <c r="L71" s="466"/>
      <c r="M71" s="470" t="s">
        <v>359</v>
      </c>
    </row>
    <row r="72" spans="2:13" ht="17" x14ac:dyDescent="0.25">
      <c r="C72" s="462" t="s">
        <v>568</v>
      </c>
      <c r="D72" s="462" t="s">
        <v>300</v>
      </c>
      <c r="E72" s="464" t="s">
        <v>252</v>
      </c>
      <c r="F72" s="461" t="s">
        <v>248</v>
      </c>
      <c r="G72" s="603" t="s">
        <v>301</v>
      </c>
      <c r="H72" s="597">
        <v>2</v>
      </c>
      <c r="I72" s="598"/>
      <c r="J72" s="528">
        <v>6</v>
      </c>
      <c r="K72" s="528"/>
      <c r="L72" s="599"/>
      <c r="M72" s="470" t="s">
        <v>569</v>
      </c>
    </row>
    <row r="73" spans="2:13" ht="34" x14ac:dyDescent="0.25">
      <c r="C73" s="582" t="s">
        <v>570</v>
      </c>
      <c r="D73" s="582"/>
      <c r="E73" s="583"/>
      <c r="F73" s="548"/>
      <c r="G73" s="604"/>
      <c r="H73" s="604"/>
      <c r="I73" s="605" t="s">
        <v>321</v>
      </c>
      <c r="J73" s="551"/>
      <c r="K73" s="551"/>
      <c r="L73" s="606"/>
      <c r="M73" s="607"/>
    </row>
    <row r="74" spans="2:13" ht="34" x14ac:dyDescent="0.25">
      <c r="C74" s="582" t="s">
        <v>571</v>
      </c>
      <c r="D74" s="582"/>
      <c r="E74" s="583"/>
      <c r="F74" s="548"/>
      <c r="G74" s="608"/>
      <c r="H74" s="604"/>
      <c r="I74" s="609" t="s">
        <v>321</v>
      </c>
      <c r="J74" s="551"/>
      <c r="K74" s="551"/>
      <c r="L74" s="606"/>
      <c r="M74" s="607"/>
    </row>
    <row r="75" spans="2:13" x14ac:dyDescent="0.2">
      <c r="B75" s="228">
        <f>SUM(B60:B74)</f>
        <v>8</v>
      </c>
      <c r="J75" s="443">
        <f>J60+J61+J62+J63+J64+J65+J66+J68</f>
        <v>234</v>
      </c>
    </row>
  </sheetData>
  <sheetProtection algorithmName="SHA-512" hashValue="ivzrv4CHfsz3ZJ4VDUmxLHdB3GUbbSesmkIWwCaz9As0uYXAJlCUNDuwyku4GsHi1KfzRGeeSDXQbo0vnjoLQg==" saltValue="8i0R0KT8/am6G3ForQClNQ==" spinCount="100000" sheet="1" objects="1" scenarios="1"/>
  <sortState xmlns:xlrd2="http://schemas.microsoft.com/office/spreadsheetml/2017/richdata2" ref="C21:J30">
    <sortCondition ref="C21:C30"/>
  </sortState>
  <mergeCells count="6">
    <mergeCell ref="J46:J54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7741F22-EF1C-49FC-AD55-93F84C78F0A1}">
          <x14:formula1>
            <xm:f>'Data Elements'!$F$3:$F$31</xm:f>
          </x14:formula1>
          <xm:sqref>D2</xm:sqref>
        </x14:dataValidation>
        <x14:dataValidation type="list" allowBlank="1" showInputMessage="1" showErrorMessage="1" xr:uid="{6ABE731F-4F32-4A7F-A9BB-5A3462407295}">
          <x14:formula1>
            <xm:f>'Data Elements'!$A$3:$A$101</xm:f>
          </x14:formula1>
          <xm:sqref>C35</xm:sqref>
        </x14:dataValidation>
        <x14:dataValidation type="list" allowBlank="1" showInputMessage="1" showErrorMessage="1" xr:uid="{91C4EEAB-A6F0-4D6D-A9D2-8779A4DA7A56}">
          <x14:formula1>
            <xm:f>'Data Elements'!$A$3:$A$179</xm:f>
          </x14:formula1>
          <xm:sqref>C21:C34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DB5A8-0B61-4D99-BB0F-3364CE9C66F0}">
  <sheetPr>
    <tabColor rgb="FF000000"/>
  </sheetPr>
  <dimension ref="A1:S74"/>
  <sheetViews>
    <sheetView topLeftCell="A25" workbookViewId="0">
      <selection activeCell="H50" sqref="H50"/>
    </sheetView>
    <sheetView topLeftCell="A14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20.5" customWidth="1"/>
    <col min="4" max="7" width="18.6640625" customWidth="1"/>
    <col min="8" max="8" width="20.6640625" customWidth="1"/>
    <col min="9" max="9" width="17.6640625" customWidth="1"/>
    <col min="10" max="10" width="50.6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61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114.97500000000001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5.8961538461538465</v>
      </c>
    </row>
    <row r="7" spans="1:10" x14ac:dyDescent="0.2">
      <c r="B7" s="1180" t="s">
        <v>186</v>
      </c>
      <c r="C7" s="16" t="s">
        <v>187</v>
      </c>
      <c r="D7" s="173">
        <v>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104.02499999999999</v>
      </c>
    </row>
    <row r="9" spans="1:10" ht="17" thickBot="1" x14ac:dyDescent="0.25">
      <c r="B9" s="1182"/>
      <c r="C9" s="19" t="s">
        <v>10</v>
      </c>
      <c r="D9" s="20">
        <f>VLOOKUP($D$2,Overview!$A$4:$AC$31,26,0)</f>
        <v>5.3346153846153843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5" ht="16.25" customHeight="1" x14ac:dyDescent="0.2">
      <c r="B17" s="156"/>
      <c r="C17" s="155" t="s">
        <v>191</v>
      </c>
      <c r="J17" s="25"/>
    </row>
    <row r="18" spans="2:15" ht="16.25" customHeight="1" x14ac:dyDescent="0.2">
      <c r="B18" s="156"/>
      <c r="C18" s="155" t="s">
        <v>192</v>
      </c>
      <c r="J18" s="25"/>
    </row>
    <row r="19" spans="2:15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5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5" x14ac:dyDescent="0.2">
      <c r="B21" s="34">
        <v>1</v>
      </c>
      <c r="C21" s="227" t="s">
        <v>572</v>
      </c>
      <c r="D21" s="118"/>
      <c r="E21" s="118"/>
      <c r="F21" s="118">
        <v>3</v>
      </c>
      <c r="G21" s="119"/>
      <c r="H21" s="119"/>
      <c r="I21" s="120">
        <v>3</v>
      </c>
      <c r="J21" s="35" t="s">
        <v>573</v>
      </c>
    </row>
    <row r="22" spans="2:15" x14ac:dyDescent="0.2">
      <c r="B22" s="36">
        <v>2</v>
      </c>
      <c r="C22" s="227" t="s">
        <v>574</v>
      </c>
      <c r="D22" s="998">
        <v>6</v>
      </c>
      <c r="E22" s="121"/>
      <c r="F22" s="121"/>
      <c r="G22" s="122">
        <v>6</v>
      </c>
      <c r="H22" s="122"/>
      <c r="I22" s="122"/>
      <c r="J22" s="35" t="s">
        <v>575</v>
      </c>
      <c r="K22" t="s">
        <v>576</v>
      </c>
    </row>
    <row r="23" spans="2:15" x14ac:dyDescent="0.2">
      <c r="B23" s="36">
        <v>3</v>
      </c>
      <c r="C23" s="227" t="s">
        <v>577</v>
      </c>
      <c r="D23" s="121"/>
      <c r="E23" s="998">
        <v>1.5</v>
      </c>
      <c r="F23" s="121">
        <v>3</v>
      </c>
      <c r="G23" s="122"/>
      <c r="H23" s="122"/>
      <c r="I23" s="122"/>
      <c r="J23" s="38" t="s">
        <v>578</v>
      </c>
      <c r="K23" s="289" t="s">
        <v>579</v>
      </c>
    </row>
    <row r="24" spans="2:15" x14ac:dyDescent="0.2">
      <c r="B24" s="36">
        <v>4</v>
      </c>
      <c r="C24" s="227" t="s">
        <v>580</v>
      </c>
      <c r="D24" s="121"/>
      <c r="E24" s="121"/>
      <c r="F24" s="372"/>
      <c r="G24" s="122"/>
      <c r="H24" s="122"/>
      <c r="I24" s="122"/>
      <c r="J24" s="38"/>
    </row>
    <row r="25" spans="2:15" x14ac:dyDescent="0.2">
      <c r="B25" s="36">
        <v>5</v>
      </c>
      <c r="C25" s="820" t="s">
        <v>581</v>
      </c>
      <c r="D25" s="121"/>
      <c r="E25" s="121"/>
      <c r="F25" s="121">
        <v>3</v>
      </c>
      <c r="G25" s="122"/>
      <c r="H25" s="122"/>
      <c r="I25" s="122">
        <v>6</v>
      </c>
      <c r="J25" s="38" t="s">
        <v>582</v>
      </c>
      <c r="K25" t="s">
        <v>583</v>
      </c>
    </row>
    <row r="26" spans="2:15" x14ac:dyDescent="0.2">
      <c r="B26" s="36">
        <v>6</v>
      </c>
      <c r="C26" s="37" t="s">
        <v>344</v>
      </c>
      <c r="D26" s="121"/>
      <c r="E26" s="121"/>
      <c r="F26" s="121"/>
      <c r="G26" s="122"/>
      <c r="H26" s="122">
        <v>4.5</v>
      </c>
      <c r="I26" s="122"/>
      <c r="J26" s="38" t="s">
        <v>584</v>
      </c>
    </row>
    <row r="27" spans="2:15" x14ac:dyDescent="0.2">
      <c r="B27" s="36">
        <v>7</v>
      </c>
      <c r="C27" s="37" t="s">
        <v>344</v>
      </c>
      <c r="D27" s="121"/>
      <c r="E27" s="121"/>
      <c r="F27" s="121"/>
      <c r="G27" s="122"/>
      <c r="H27" s="122">
        <v>1.5</v>
      </c>
      <c r="I27" s="122"/>
      <c r="J27" s="38" t="s">
        <v>585</v>
      </c>
      <c r="K27" s="1" t="s">
        <v>100</v>
      </c>
      <c r="L27" s="1" t="s">
        <v>108</v>
      </c>
      <c r="M27" s="1" t="s">
        <v>586</v>
      </c>
      <c r="N27" s="1" t="s">
        <v>587</v>
      </c>
      <c r="O27" s="1"/>
    </row>
    <row r="28" spans="2:15" x14ac:dyDescent="0.2">
      <c r="B28" s="36">
        <v>8</v>
      </c>
      <c r="C28" s="37" t="s">
        <v>344</v>
      </c>
      <c r="D28" s="121"/>
      <c r="E28" s="121"/>
      <c r="F28" s="121"/>
      <c r="G28" s="122"/>
      <c r="H28" s="122"/>
      <c r="I28" s="122"/>
      <c r="J28" s="38"/>
      <c r="K28" s="1056"/>
      <c r="L28" s="922">
        <v>6</v>
      </c>
      <c r="M28" s="922">
        <v>3</v>
      </c>
      <c r="N28" s="922">
        <v>3</v>
      </c>
    </row>
    <row r="29" spans="2:15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  <c r="K29" s="1190" t="s">
        <v>588</v>
      </c>
      <c r="M29">
        <v>-1.5</v>
      </c>
      <c r="N29">
        <v>-3</v>
      </c>
    </row>
    <row r="30" spans="2:15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  <c r="K30" s="1190"/>
      <c r="L30">
        <v>-1.5</v>
      </c>
    </row>
    <row r="31" spans="2:15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  <c r="K31" s="153" t="s">
        <v>194</v>
      </c>
      <c r="L31">
        <f>SUM(L28:L30)</f>
        <v>4.5</v>
      </c>
      <c r="M31">
        <f t="shared" ref="M31:N31" si="0">SUM(M28:M30)</f>
        <v>1.5</v>
      </c>
      <c r="N31">
        <f t="shared" si="0"/>
        <v>0</v>
      </c>
    </row>
    <row r="32" spans="2:15" hidden="1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1" hidden="1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1" hidden="1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1" hidden="1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1" ht="17" hidden="1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1" s="11" customFormat="1" ht="20" thickBot="1" x14ac:dyDescent="0.3">
      <c r="B37" s="42"/>
      <c r="C37" s="43" t="s">
        <v>209</v>
      </c>
      <c r="D37" s="128">
        <f t="shared" ref="D37:I37" si="1">SUM(D21:D36)</f>
        <v>6</v>
      </c>
      <c r="E37" s="128">
        <f t="shared" si="1"/>
        <v>1.5</v>
      </c>
      <c r="F37" s="128">
        <f t="shared" si="1"/>
        <v>9</v>
      </c>
      <c r="G37" s="129">
        <f t="shared" si="1"/>
        <v>6</v>
      </c>
      <c r="H37" s="129">
        <f t="shared" si="1"/>
        <v>6</v>
      </c>
      <c r="I37" s="129">
        <f t="shared" si="1"/>
        <v>9</v>
      </c>
      <c r="J37" s="44"/>
    </row>
    <row r="38" spans="2:11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1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1" ht="16.25" customHeight="1" x14ac:dyDescent="0.2">
      <c r="B40" s="36">
        <v>1</v>
      </c>
      <c r="C40" t="s">
        <v>589</v>
      </c>
      <c r="D40" s="121"/>
      <c r="E40" s="998">
        <v>4.5</v>
      </c>
      <c r="F40" s="121"/>
      <c r="G40" s="126"/>
      <c r="H40" s="126"/>
      <c r="I40" s="126"/>
      <c r="J40" s="38" t="s">
        <v>590</v>
      </c>
      <c r="K40" t="s">
        <v>591</v>
      </c>
    </row>
    <row r="41" spans="2:11" x14ac:dyDescent="0.2">
      <c r="B41" s="36">
        <v>2</v>
      </c>
      <c r="C41" t="s">
        <v>592</v>
      </c>
      <c r="D41" s="998">
        <v>3</v>
      </c>
      <c r="E41" s="121"/>
      <c r="F41" s="121"/>
      <c r="G41" s="126"/>
      <c r="H41" s="126"/>
      <c r="I41" s="126"/>
      <c r="J41" s="38" t="s">
        <v>593</v>
      </c>
      <c r="K41" t="s">
        <v>594</v>
      </c>
    </row>
    <row r="42" spans="2:11" x14ac:dyDescent="0.2">
      <c r="B42" s="36">
        <v>3</v>
      </c>
      <c r="D42" s="121"/>
      <c r="E42" s="121"/>
      <c r="F42" s="121"/>
      <c r="G42" s="126"/>
      <c r="H42" s="126"/>
      <c r="I42" s="126"/>
      <c r="J42" s="38"/>
    </row>
    <row r="43" spans="2:11" ht="17" thickBot="1" x14ac:dyDescent="0.25">
      <c r="B43" s="39">
        <v>4</v>
      </c>
      <c r="D43" s="123"/>
      <c r="E43" s="123"/>
      <c r="F43" s="123"/>
      <c r="G43" s="127"/>
      <c r="H43" s="127"/>
      <c r="I43" s="127"/>
      <c r="J43" s="38"/>
    </row>
    <row r="44" spans="2:11" s="11" customFormat="1" ht="21" thickTop="1" thickBot="1" x14ac:dyDescent="0.3">
      <c r="B44" s="42"/>
      <c r="C44" s="43" t="s">
        <v>214</v>
      </c>
      <c r="D44" s="128">
        <f>SUM(D40)</f>
        <v>0</v>
      </c>
      <c r="E44" s="128">
        <f t="shared" ref="E44:F44" si="2">SUM(E40)</f>
        <v>4.5</v>
      </c>
      <c r="F44" s="128">
        <f t="shared" si="2"/>
        <v>0</v>
      </c>
      <c r="G44" s="129">
        <f>SUM(G40)</f>
        <v>0</v>
      </c>
      <c r="H44" s="129">
        <f t="shared" ref="H44:I44" si="3">SUM(H40)</f>
        <v>0</v>
      </c>
      <c r="I44" s="129">
        <f t="shared" si="3"/>
        <v>0</v>
      </c>
      <c r="J44" s="53">
        <f>SUM(D44:I44)</f>
        <v>4.5</v>
      </c>
    </row>
    <row r="45" spans="2:11" ht="6" customHeight="1" thickBot="1" x14ac:dyDescent="0.25"/>
    <row r="46" spans="2:11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1" s="57" customFormat="1" ht="19" x14ac:dyDescent="0.25">
      <c r="B47" s="231">
        <f t="shared" ref="B47:B49" si="4">SUM(E47:H47)</f>
        <v>82.5</v>
      </c>
      <c r="D47" s="58" t="s">
        <v>217</v>
      </c>
      <c r="E47" s="224">
        <f>($D$4*12)-$E$37-$F$37-$D$37</f>
        <v>43.5</v>
      </c>
      <c r="H47" s="111">
        <f>($D$7*12)-$H$37-$I$37-$G$37</f>
        <v>39</v>
      </c>
      <c r="J47" s="1185" t="s">
        <v>386</v>
      </c>
    </row>
    <row r="48" spans="2:11" s="57" customFormat="1" ht="19" x14ac:dyDescent="0.25">
      <c r="B48" s="231">
        <f t="shared" si="4"/>
        <v>25.5</v>
      </c>
      <c r="C48" s="58"/>
      <c r="D48" s="58" t="s">
        <v>218</v>
      </c>
      <c r="E48" s="224">
        <f>$E$37+$F$37</f>
        <v>10.5</v>
      </c>
      <c r="H48" s="111">
        <f>$H$37+$I$37</f>
        <v>15</v>
      </c>
      <c r="J48" s="1185"/>
    </row>
    <row r="49" spans="2:19" s="57" customFormat="1" ht="19" x14ac:dyDescent="0.25">
      <c r="B49" s="231">
        <f t="shared" si="4"/>
        <v>18.46153846153846</v>
      </c>
      <c r="C49" s="58"/>
      <c r="D49" s="58" t="s">
        <v>219</v>
      </c>
      <c r="E49" s="224">
        <f>(($D$6-$D$4)*15)-D44</f>
        <v>13.442307692307697</v>
      </c>
      <c r="H49" s="111">
        <f>(($D$9-$D$7)*15)-$G$44</f>
        <v>5.0192307692307647</v>
      </c>
      <c r="J49" s="1185"/>
    </row>
    <row r="50" spans="2:19" s="57" customFormat="1" ht="19" x14ac:dyDescent="0.25">
      <c r="B50" s="230">
        <f>SUM(E50:H50)</f>
        <v>126.46153846153845</v>
      </c>
      <c r="C50" s="59"/>
      <c r="D50" s="59" t="s">
        <v>220</v>
      </c>
      <c r="E50" s="106">
        <f>SUM(E47:E49)</f>
        <v>67.442307692307693</v>
      </c>
      <c r="H50" s="112">
        <f>SUM(H47:H49)</f>
        <v>59.019230769230766</v>
      </c>
      <c r="J50" s="1185"/>
    </row>
    <row r="51" spans="2:19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9" s="57" customFormat="1" ht="20" thickBot="1" x14ac:dyDescent="0.3">
      <c r="D52" s="63" t="s">
        <v>222</v>
      </c>
      <c r="E52" s="108">
        <f>SUM(E50:E51)</f>
        <v>67.442307692307693</v>
      </c>
      <c r="G52" s="63"/>
      <c r="H52" s="114">
        <f>SUM(H50:H51)</f>
        <v>59.019230769230766</v>
      </c>
      <c r="I52" s="64"/>
      <c r="J52" s="1185"/>
    </row>
    <row r="53" spans="2:19" s="57" customFormat="1" ht="19" x14ac:dyDescent="0.25">
      <c r="D53" s="201" t="s">
        <v>278</v>
      </c>
      <c r="E53" s="202">
        <v>71.7</v>
      </c>
      <c r="F53" s="383" t="s">
        <v>224</v>
      </c>
      <c r="G53" s="204"/>
      <c r="H53" s="115"/>
      <c r="I53" s="66"/>
      <c r="J53" s="1185"/>
    </row>
    <row r="54" spans="2:19" s="57" customFormat="1" ht="19" x14ac:dyDescent="0.25">
      <c r="D54" s="71" t="s">
        <v>225</v>
      </c>
      <c r="E54" s="109">
        <f>E53-E52</f>
        <v>4.2576923076923094</v>
      </c>
      <c r="G54" s="65"/>
      <c r="H54" s="116">
        <f>H53-H52</f>
        <v>-59.019230769230766</v>
      </c>
      <c r="I54" s="66"/>
      <c r="J54" s="1185"/>
    </row>
    <row r="55" spans="2:19" s="57" customFormat="1" ht="20" thickBot="1" x14ac:dyDescent="0.3">
      <c r="D55" s="66" t="s">
        <v>226</v>
      </c>
      <c r="E55" s="105">
        <f>IFERROR(($D$5*5)/(E52/3),0)</f>
        <v>25.571856287425149</v>
      </c>
      <c r="H55" s="117">
        <f>IFERROR(5*$D$8/(H52/3),0)</f>
        <v>26.438416422287389</v>
      </c>
      <c r="J55" s="1186"/>
    </row>
    <row r="56" spans="2:19" x14ac:dyDescent="0.2">
      <c r="D56" t="s">
        <v>227</v>
      </c>
      <c r="E56" s="152">
        <f>+$E$49+$E$48+$H$48+$H$49+$D$44+$E$44+$F$44+$G$44+$H$44+$I$44</f>
        <v>48.46153846153846</v>
      </c>
      <c r="F56" s="11" t="s">
        <v>228</v>
      </c>
    </row>
    <row r="57" spans="2:19" x14ac:dyDescent="0.2">
      <c r="E57" s="952">
        <f>E56*2507</f>
        <v>121493.07692307692</v>
      </c>
    </row>
    <row r="59" spans="2:19" x14ac:dyDescent="0.2">
      <c r="B59" t="s">
        <v>595</v>
      </c>
    </row>
    <row r="60" spans="2:19" ht="68" x14ac:dyDescent="0.25">
      <c r="B60" s="999" t="s">
        <v>596</v>
      </c>
      <c r="C60" s="1000" t="s">
        <v>597</v>
      </c>
      <c r="D60" s="1000" t="s">
        <v>230</v>
      </c>
      <c r="E60" s="1001" t="s">
        <v>231</v>
      </c>
      <c r="F60" s="1000" t="s">
        <v>232</v>
      </c>
      <c r="G60" s="1000" t="s">
        <v>233</v>
      </c>
      <c r="H60" s="1000" t="s">
        <v>234</v>
      </c>
      <c r="I60" s="1000" t="s">
        <v>235</v>
      </c>
      <c r="J60" s="1000" t="s">
        <v>236</v>
      </c>
      <c r="K60" s="1000" t="s">
        <v>237</v>
      </c>
      <c r="L60" s="1000" t="s">
        <v>238</v>
      </c>
      <c r="M60" s="1000" t="s">
        <v>239</v>
      </c>
      <c r="N60" s="1000" t="s">
        <v>240</v>
      </c>
      <c r="O60" s="1000" t="s">
        <v>241</v>
      </c>
      <c r="P60" s="1000" t="s">
        <v>242</v>
      </c>
      <c r="Q60" s="1000" t="s">
        <v>243</v>
      </c>
      <c r="R60" s="1002" t="s">
        <v>244</v>
      </c>
      <c r="S60" s="1003"/>
    </row>
    <row r="61" spans="2:19" ht="136" x14ac:dyDescent="0.25">
      <c r="B61" s="1004" t="s">
        <v>598</v>
      </c>
      <c r="C61" s="1005" t="s">
        <v>599</v>
      </c>
      <c r="D61" s="1006" t="s">
        <v>589</v>
      </c>
      <c r="E61" s="1007" t="s">
        <v>287</v>
      </c>
      <c r="F61" s="1008">
        <v>5925</v>
      </c>
      <c r="G61" s="1009">
        <v>2370</v>
      </c>
      <c r="H61" s="1005" t="s">
        <v>482</v>
      </c>
      <c r="I61" s="1009" t="s">
        <v>248</v>
      </c>
      <c r="J61" s="1009">
        <v>3</v>
      </c>
      <c r="K61" s="1009">
        <v>1</v>
      </c>
      <c r="L61" s="1009" t="s">
        <v>600</v>
      </c>
      <c r="M61" s="1005">
        <v>16</v>
      </c>
      <c r="N61" s="1005" t="s">
        <v>59</v>
      </c>
      <c r="O61" s="1005" t="s">
        <v>59</v>
      </c>
      <c r="P61" s="1010" t="s">
        <v>59</v>
      </c>
      <c r="Q61" s="1011" t="s">
        <v>59</v>
      </c>
      <c r="R61" s="972" t="s">
        <v>249</v>
      </c>
      <c r="S61" s="1003"/>
    </row>
    <row r="62" spans="2:19" ht="68" x14ac:dyDescent="0.25">
      <c r="B62" s="1004" t="s">
        <v>598</v>
      </c>
      <c r="C62" s="1005" t="s">
        <v>599</v>
      </c>
      <c r="D62" s="1006" t="s">
        <v>601</v>
      </c>
      <c r="E62" s="1007" t="s">
        <v>287</v>
      </c>
      <c r="F62" s="1008">
        <v>5007</v>
      </c>
      <c r="G62" s="1009">
        <v>2002.8</v>
      </c>
      <c r="H62" s="1005" t="s">
        <v>487</v>
      </c>
      <c r="I62" s="1009" t="s">
        <v>248</v>
      </c>
      <c r="J62" s="1009">
        <v>3</v>
      </c>
      <c r="K62" s="1009">
        <v>1</v>
      </c>
      <c r="L62" s="1009" t="s">
        <v>602</v>
      </c>
      <c r="M62" s="1005">
        <v>2.6</v>
      </c>
      <c r="N62" s="1005" t="s">
        <v>59</v>
      </c>
      <c r="O62" s="1005" t="s">
        <v>59</v>
      </c>
      <c r="P62" s="1010" t="s">
        <v>59</v>
      </c>
      <c r="Q62" s="1011" t="s">
        <v>59</v>
      </c>
      <c r="R62" s="1012" t="s">
        <v>249</v>
      </c>
      <c r="S62" s="1003"/>
    </row>
    <row r="63" spans="2:19" ht="34" x14ac:dyDescent="0.25">
      <c r="B63" s="1004" t="s">
        <v>598</v>
      </c>
      <c r="C63" s="1005" t="s">
        <v>599</v>
      </c>
      <c r="D63" s="1009" t="s">
        <v>603</v>
      </c>
      <c r="E63" s="1013" t="s">
        <v>300</v>
      </c>
      <c r="F63" s="1008">
        <v>5925</v>
      </c>
      <c r="G63" s="1009">
        <v>2370</v>
      </c>
      <c r="H63" s="1005" t="s">
        <v>482</v>
      </c>
      <c r="I63" s="1009" t="s">
        <v>248</v>
      </c>
      <c r="J63" s="1009" t="s">
        <v>301</v>
      </c>
      <c r="K63" s="1009">
        <v>2</v>
      </c>
      <c r="L63" s="1009" t="s">
        <v>59</v>
      </c>
      <c r="M63" s="1005">
        <v>20.3</v>
      </c>
      <c r="N63" s="1005" t="s">
        <v>59</v>
      </c>
      <c r="O63" s="1005" t="s">
        <v>59</v>
      </c>
      <c r="P63" s="1010" t="s">
        <v>59</v>
      </c>
      <c r="Q63" s="1011" t="s">
        <v>59</v>
      </c>
      <c r="R63" s="1012" t="s">
        <v>604</v>
      </c>
      <c r="S63" s="1003"/>
    </row>
    <row r="64" spans="2:19" ht="34" x14ac:dyDescent="0.25">
      <c r="B64" s="1004" t="s">
        <v>598</v>
      </c>
      <c r="C64" s="1005" t="s">
        <v>599</v>
      </c>
      <c r="D64" s="1006" t="s">
        <v>605</v>
      </c>
      <c r="E64" s="1013" t="s">
        <v>300</v>
      </c>
      <c r="F64" s="1008">
        <v>5075</v>
      </c>
      <c r="G64" s="1009">
        <v>2030</v>
      </c>
      <c r="H64" s="1005" t="s">
        <v>487</v>
      </c>
      <c r="I64" s="1009" t="s">
        <v>248</v>
      </c>
      <c r="J64" s="1009" t="s">
        <v>301</v>
      </c>
      <c r="K64" s="1009">
        <v>2</v>
      </c>
      <c r="L64" s="1009" t="s">
        <v>59</v>
      </c>
      <c r="M64" s="1005">
        <v>10.3</v>
      </c>
      <c r="N64" s="1005" t="s">
        <v>59</v>
      </c>
      <c r="O64" s="1005" t="s">
        <v>59</v>
      </c>
      <c r="P64" s="1010" t="s">
        <v>59</v>
      </c>
      <c r="Q64" s="1011" t="s">
        <v>59</v>
      </c>
      <c r="R64" s="1012" t="s">
        <v>424</v>
      </c>
      <c r="S64" s="1003"/>
    </row>
    <row r="65" spans="2:19" ht="34" x14ac:dyDescent="0.25">
      <c r="B65" s="1004" t="s">
        <v>598</v>
      </c>
      <c r="C65" s="1005" t="s">
        <v>599</v>
      </c>
      <c r="D65" s="1006" t="s">
        <v>418</v>
      </c>
      <c r="E65" s="1013" t="s">
        <v>300</v>
      </c>
      <c r="F65" s="1008">
        <v>5007</v>
      </c>
      <c r="G65" s="1009">
        <v>2002.8</v>
      </c>
      <c r="H65" s="1005" t="s">
        <v>487</v>
      </c>
      <c r="I65" s="1009" t="s">
        <v>248</v>
      </c>
      <c r="J65" s="1009" t="s">
        <v>301</v>
      </c>
      <c r="K65" s="1009">
        <v>2</v>
      </c>
      <c r="L65" s="1009" t="s">
        <v>59</v>
      </c>
      <c r="M65" s="1005">
        <v>9.3000000000000007</v>
      </c>
      <c r="N65" s="1005" t="s">
        <v>59</v>
      </c>
      <c r="O65" s="1005" t="s">
        <v>59</v>
      </c>
      <c r="P65" s="1010" t="s">
        <v>59</v>
      </c>
      <c r="Q65" s="1011" t="s">
        <v>59</v>
      </c>
      <c r="R65" s="1012" t="s">
        <v>606</v>
      </c>
      <c r="S65" s="1003"/>
    </row>
    <row r="66" spans="2:19" ht="17" x14ac:dyDescent="0.25">
      <c r="B66" s="1004" t="s">
        <v>598</v>
      </c>
      <c r="C66" s="1005" t="s">
        <v>599</v>
      </c>
      <c r="D66" s="1009" t="s">
        <v>607</v>
      </c>
      <c r="E66" s="1013" t="s">
        <v>300</v>
      </c>
      <c r="F66" s="1008">
        <v>5007</v>
      </c>
      <c r="G66" s="1009">
        <v>2002.8</v>
      </c>
      <c r="H66" s="1005" t="s">
        <v>487</v>
      </c>
      <c r="I66" s="1009" t="s">
        <v>248</v>
      </c>
      <c r="J66" s="1009" t="s">
        <v>301</v>
      </c>
      <c r="K66" s="1009">
        <v>2</v>
      </c>
      <c r="L66" s="1009" t="s">
        <v>59</v>
      </c>
      <c r="M66" s="1005">
        <v>8.6</v>
      </c>
      <c r="N66" s="1005" t="s">
        <v>59</v>
      </c>
      <c r="O66" s="1005" t="s">
        <v>59</v>
      </c>
      <c r="P66" s="1010" t="s">
        <v>59</v>
      </c>
      <c r="Q66" s="1011" t="s">
        <v>59</v>
      </c>
      <c r="R66" s="1014" t="s">
        <v>307</v>
      </c>
      <c r="S66" s="1003"/>
    </row>
    <row r="67" spans="2:19" ht="68" x14ac:dyDescent="0.25">
      <c r="B67" s="1015" t="s">
        <v>598</v>
      </c>
      <c r="C67" s="1005" t="s">
        <v>599</v>
      </c>
      <c r="D67" s="1006" t="s">
        <v>608</v>
      </c>
      <c r="E67" s="1013" t="s">
        <v>310</v>
      </c>
      <c r="F67" s="1008">
        <v>5007</v>
      </c>
      <c r="G67" s="1009">
        <v>2002.8</v>
      </c>
      <c r="H67" s="1005" t="s">
        <v>487</v>
      </c>
      <c r="I67" s="1009" t="s">
        <v>248</v>
      </c>
      <c r="J67" s="1009" t="s">
        <v>311</v>
      </c>
      <c r="K67" s="1009">
        <v>2</v>
      </c>
      <c r="L67" s="1009" t="s">
        <v>609</v>
      </c>
      <c r="M67" s="1005" t="s">
        <v>610</v>
      </c>
      <c r="N67" s="1005" t="s">
        <v>59</v>
      </c>
      <c r="O67" s="1005" t="s">
        <v>59</v>
      </c>
      <c r="P67" s="1010" t="s">
        <v>59</v>
      </c>
      <c r="Q67" s="1011" t="s">
        <v>59</v>
      </c>
      <c r="R67" s="1012" t="s">
        <v>304</v>
      </c>
      <c r="S67" s="1003"/>
    </row>
    <row r="68" spans="2:19" ht="68" x14ac:dyDescent="0.25">
      <c r="B68" s="1004" t="s">
        <v>598</v>
      </c>
      <c r="C68" s="1005" t="s">
        <v>599</v>
      </c>
      <c r="D68" s="1009" t="s">
        <v>611</v>
      </c>
      <c r="E68" s="1013" t="s">
        <v>310</v>
      </c>
      <c r="F68" s="1008">
        <v>5007</v>
      </c>
      <c r="G68" s="1009">
        <v>2002.8</v>
      </c>
      <c r="H68" s="1005" t="s">
        <v>487</v>
      </c>
      <c r="I68" s="1009" t="s">
        <v>248</v>
      </c>
      <c r="J68" s="1009" t="s">
        <v>311</v>
      </c>
      <c r="K68" s="1009">
        <v>2</v>
      </c>
      <c r="L68" s="1009" t="s">
        <v>612</v>
      </c>
      <c r="M68" s="1005" t="s">
        <v>59</v>
      </c>
      <c r="N68" s="1005" t="s">
        <v>59</v>
      </c>
      <c r="O68" s="1005" t="s">
        <v>59</v>
      </c>
      <c r="P68" s="1010" t="s">
        <v>59</v>
      </c>
      <c r="Q68" s="1011" t="s">
        <v>59</v>
      </c>
      <c r="R68" s="1014" t="s">
        <v>613</v>
      </c>
      <c r="S68" s="1003"/>
    </row>
    <row r="69" spans="2:19" ht="68" x14ac:dyDescent="0.25">
      <c r="B69" s="1015" t="s">
        <v>598</v>
      </c>
      <c r="C69" s="1005" t="s">
        <v>599</v>
      </c>
      <c r="D69" s="1006" t="s">
        <v>614</v>
      </c>
      <c r="E69" s="1013" t="s">
        <v>310</v>
      </c>
      <c r="F69" s="1008">
        <v>5007</v>
      </c>
      <c r="G69" s="1009">
        <v>2002.8</v>
      </c>
      <c r="H69" s="1005" t="s">
        <v>487</v>
      </c>
      <c r="I69" s="1009" t="s">
        <v>248</v>
      </c>
      <c r="J69" s="1009" t="s">
        <v>311</v>
      </c>
      <c r="K69" s="1009">
        <v>2</v>
      </c>
      <c r="L69" s="1009" t="s">
        <v>609</v>
      </c>
      <c r="M69" s="1005" t="s">
        <v>59</v>
      </c>
      <c r="N69" s="1005" t="s">
        <v>59</v>
      </c>
      <c r="O69" s="1005" t="s">
        <v>59</v>
      </c>
      <c r="P69" s="1010" t="s">
        <v>59</v>
      </c>
      <c r="Q69" s="1016" t="s">
        <v>59</v>
      </c>
      <c r="R69" s="1017" t="s">
        <v>313</v>
      </c>
      <c r="S69" s="1003"/>
    </row>
    <row r="70" spans="2:19" ht="34" x14ac:dyDescent="0.25">
      <c r="B70" s="1015" t="s">
        <v>598</v>
      </c>
      <c r="C70" s="1005" t="s">
        <v>599</v>
      </c>
      <c r="D70" s="1006" t="s">
        <v>615</v>
      </c>
      <c r="E70" s="1013" t="s">
        <v>310</v>
      </c>
      <c r="F70" s="1008">
        <v>6075</v>
      </c>
      <c r="G70" s="1009">
        <v>2430</v>
      </c>
      <c r="H70" s="1005" t="s">
        <v>482</v>
      </c>
      <c r="I70" s="1009" t="s">
        <v>248</v>
      </c>
      <c r="J70" s="1009" t="s">
        <v>311</v>
      </c>
      <c r="K70" s="1009">
        <v>2</v>
      </c>
      <c r="L70" s="1009" t="s">
        <v>616</v>
      </c>
      <c r="M70" s="1005" t="s">
        <v>59</v>
      </c>
      <c r="N70" s="1005" t="s">
        <v>59</v>
      </c>
      <c r="O70" s="1005" t="s">
        <v>59</v>
      </c>
      <c r="P70" s="1010" t="s">
        <v>59</v>
      </c>
      <c r="Q70" s="966" t="s">
        <v>59</v>
      </c>
      <c r="R70" s="1018" t="s">
        <v>617</v>
      </c>
      <c r="S70" s="1003"/>
    </row>
    <row r="71" spans="2:19" ht="34" x14ac:dyDescent="0.25">
      <c r="B71" s="1019" t="s">
        <v>598</v>
      </c>
      <c r="C71" s="1020" t="s">
        <v>599</v>
      </c>
      <c r="D71" s="1021" t="s">
        <v>618</v>
      </c>
      <c r="E71" s="1022" t="s">
        <v>59</v>
      </c>
      <c r="F71" s="1020" t="s">
        <v>59</v>
      </c>
      <c r="G71" s="1023" t="s">
        <v>59</v>
      </c>
      <c r="H71" s="1020" t="s">
        <v>59</v>
      </c>
      <c r="I71" s="1023" t="s">
        <v>59</v>
      </c>
      <c r="J71" s="1023" t="s">
        <v>59</v>
      </c>
      <c r="K71" s="1023" t="s">
        <v>59</v>
      </c>
      <c r="L71" s="1023" t="s">
        <v>619</v>
      </c>
      <c r="M71" s="1020" t="s">
        <v>610</v>
      </c>
      <c r="N71" s="1020" t="s">
        <v>59</v>
      </c>
      <c r="O71" s="1020" t="s">
        <v>59</v>
      </c>
      <c r="P71" s="1024" t="s">
        <v>59</v>
      </c>
      <c r="Q71" s="1025" t="s">
        <v>59</v>
      </c>
      <c r="R71" s="1026" t="s">
        <v>59</v>
      </c>
      <c r="S71" s="1003"/>
    </row>
    <row r="72" spans="2:19" x14ac:dyDescent="0.2">
      <c r="B72" s="1003"/>
      <c r="C72" s="1003"/>
      <c r="D72" s="1027"/>
      <c r="E72" s="1003"/>
      <c r="F72" s="1003"/>
      <c r="G72" s="1003"/>
      <c r="H72" s="1003"/>
      <c r="I72" s="1003"/>
      <c r="J72" s="1003"/>
      <c r="K72" s="1003"/>
      <c r="L72" s="1003"/>
      <c r="M72" s="1003"/>
      <c r="N72" s="1003"/>
      <c r="O72" s="1003"/>
      <c r="P72" s="1003"/>
      <c r="Q72" s="1003"/>
      <c r="R72" s="1027"/>
      <c r="S72" s="1003"/>
    </row>
    <row r="73" spans="2:19" x14ac:dyDescent="0.2">
      <c r="B73" s="1003"/>
      <c r="C73" s="1003" t="s">
        <v>255</v>
      </c>
      <c r="D73" s="1003"/>
      <c r="E73" s="1003"/>
      <c r="F73" s="1003"/>
      <c r="G73" s="1003"/>
      <c r="H73" s="1003"/>
      <c r="I73" s="1003"/>
      <c r="J73" s="1003"/>
      <c r="K73" s="1003"/>
      <c r="L73" s="1003"/>
      <c r="M73" s="1003"/>
      <c r="N73" s="1003"/>
      <c r="O73" s="1003"/>
      <c r="P73" s="1003"/>
      <c r="Q73" s="1003"/>
      <c r="R73" s="1027"/>
      <c r="S73" s="1003"/>
    </row>
    <row r="74" spans="2:19" x14ac:dyDescent="0.2">
      <c r="B74" s="1003"/>
      <c r="C74" s="1003"/>
      <c r="D74" s="1027"/>
      <c r="E74" s="1003"/>
      <c r="F74" s="1003"/>
      <c r="G74" s="1003"/>
      <c r="H74" s="1003"/>
      <c r="I74" s="1003"/>
      <c r="J74" s="1003"/>
      <c r="K74" s="1003"/>
      <c r="L74" s="1003"/>
      <c r="M74" s="1003"/>
      <c r="N74" s="1003"/>
      <c r="O74" s="1003"/>
      <c r="P74" s="1003"/>
      <c r="Q74" s="1003"/>
      <c r="R74" s="1027"/>
      <c r="S74" s="1003"/>
    </row>
  </sheetData>
  <sheetProtection algorithmName="SHA-512" hashValue="k7/hb3crVaglHymmD0ucfb+HnFCe3A/8i5XQoAkEFNsc97w40K+5NGltD1/j9hJh/RtowIcn4pGZ4yvdTtie0w==" saltValue="V1RIeEph97BTIBngKDKAxw==" spinCount="100000" sheet="1" objects="1" scenarios="1"/>
  <mergeCells count="7">
    <mergeCell ref="K29:K30"/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34A105-A7CB-4EA7-B680-6A8A850A1912}">
          <x14:formula1>
            <xm:f>'Data Elements'!$A$3:$A$101</xm:f>
          </x14:formula1>
          <xm:sqref>C36</xm:sqref>
        </x14:dataValidation>
        <x14:dataValidation type="list" allowBlank="1" showInputMessage="1" showErrorMessage="1" xr:uid="{4ACAD13E-73C2-4835-A6D8-2A116B162909}">
          <x14:formula1>
            <xm:f>'Data Elements'!$F$3:$F$31</xm:f>
          </x14:formula1>
          <xm:sqref>D2</xm:sqref>
        </x14:dataValidation>
        <x14:dataValidation type="list" allowBlank="1" showInputMessage="1" showErrorMessage="1" xr:uid="{4130CE58-18F2-46EB-9DCE-9C97BE9D210A}">
          <x14:formula1>
            <xm:f>'Data Elements'!$A$3:$A$179</xm:f>
          </x14:formula1>
          <xm:sqref>C27:C35 C21:C24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6F29-4794-446D-92AD-446D44510D68}">
  <sheetPr>
    <tabColor rgb="FF000000"/>
  </sheetPr>
  <dimension ref="A1:J57"/>
  <sheetViews>
    <sheetView topLeftCell="A15" zoomScale="70" zoomScaleNormal="70" workbookViewId="0">
      <selection activeCell="H50" sqref="H50"/>
    </sheetView>
    <sheetView topLeftCell="C29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62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7.0350000000000001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0.44525316455696201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6.3650000000000002</v>
      </c>
    </row>
    <row r="9" spans="1:10" ht="17" thickBot="1" x14ac:dyDescent="0.25">
      <c r="B9" s="1182"/>
      <c r="C9" s="19" t="s">
        <v>10</v>
      </c>
      <c r="D9" s="20">
        <f>VLOOKUP($D$2,Overview!$A$4:$AC$31,26,0)</f>
        <v>0.40284810126582277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5">
      <c r="B40" s="36">
        <v>1</v>
      </c>
      <c r="C40" s="57" t="s">
        <v>620</v>
      </c>
      <c r="D40" s="121"/>
      <c r="E40" s="121"/>
      <c r="F40" s="121"/>
      <c r="G40" s="126"/>
      <c r="H40" s="126"/>
      <c r="I40" s="126"/>
      <c r="J40" s="38"/>
    </row>
    <row r="41" spans="2:10" ht="19" x14ac:dyDescent="0.25">
      <c r="B41" s="36">
        <v>2</v>
      </c>
      <c r="C41" s="57"/>
      <c r="D41" s="121"/>
      <c r="E41" s="121"/>
      <c r="F41" s="121"/>
      <c r="G41" s="126"/>
      <c r="H41" s="126"/>
      <c r="I41" s="126"/>
      <c r="J41" s="38"/>
    </row>
    <row r="42" spans="2:10" ht="19" x14ac:dyDescent="0.25">
      <c r="B42" s="36">
        <v>3</v>
      </c>
      <c r="C42" s="57"/>
      <c r="D42" s="121"/>
      <c r="E42" s="121"/>
      <c r="F42" s="121"/>
      <c r="G42" s="126"/>
      <c r="H42" s="126"/>
      <c r="I42" s="126"/>
      <c r="J42" s="38"/>
    </row>
    <row r="43" spans="2:10" ht="19" x14ac:dyDescent="0.25">
      <c r="B43" s="39">
        <v>4</v>
      </c>
      <c r="C43" s="5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0</v>
      </c>
      <c r="D47" s="58" t="s">
        <v>217</v>
      </c>
      <c r="E47" s="224">
        <f>($D$4*12)-$E$37-$F$37-$D$37</f>
        <v>0</v>
      </c>
      <c r="H47" s="111">
        <f>($D$7*12)-$H$37-$I$37-$G$37</f>
        <v>0</v>
      </c>
      <c r="J47" s="1185" t="s">
        <v>386</v>
      </c>
    </row>
    <row r="48" spans="2:10" s="57" customFormat="1" ht="19" x14ac:dyDescent="0.25">
      <c r="B48" s="231">
        <f t="shared" si="3"/>
        <v>0</v>
      </c>
      <c r="C48" s="58"/>
      <c r="D48" s="58" t="s">
        <v>218</v>
      </c>
      <c r="E48" s="224">
        <f>$E$37+$F$37</f>
        <v>0</v>
      </c>
      <c r="H48" s="111">
        <f>$H$37+$I$37</f>
        <v>0</v>
      </c>
      <c r="J48" s="1185"/>
    </row>
    <row r="49" spans="2:10" s="57" customFormat="1" ht="19" x14ac:dyDescent="0.25">
      <c r="B49" s="231">
        <f t="shared" si="3"/>
        <v>12.721518987341771</v>
      </c>
      <c r="C49" s="58"/>
      <c r="D49" s="58" t="s">
        <v>219</v>
      </c>
      <c r="E49" s="224">
        <f>(($D$6-$D$4)*15)-D44</f>
        <v>6.6787974683544302</v>
      </c>
      <c r="H49" s="111">
        <f>(($D$9-$D$7)*15)-$G$44</f>
        <v>6.0427215189873413</v>
      </c>
      <c r="J49" s="1185"/>
    </row>
    <row r="50" spans="2:10" s="57" customFormat="1" ht="19" x14ac:dyDescent="0.25">
      <c r="B50" s="230">
        <f>SUM(E50:H50)</f>
        <v>12.721518987341771</v>
      </c>
      <c r="C50" s="59"/>
      <c r="D50" s="59" t="s">
        <v>220</v>
      </c>
      <c r="E50" s="106">
        <f>SUM(E47:E49)</f>
        <v>6.6787974683544302</v>
      </c>
      <c r="H50" s="112">
        <f>SUM(H47:H49)</f>
        <v>6.0427215189873413</v>
      </c>
      <c r="J50" s="1185"/>
    </row>
    <row r="51" spans="2:10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6.6787974683544302</v>
      </c>
      <c r="G52" s="63"/>
      <c r="H52" s="114">
        <f>SUM(H50:H51)</f>
        <v>6.0427215189873413</v>
      </c>
      <c r="I52" s="64"/>
      <c r="J52" s="1185"/>
    </row>
    <row r="53" spans="2:10" s="57" customFormat="1" ht="19" x14ac:dyDescent="0.25">
      <c r="D53" s="201" t="s">
        <v>278</v>
      </c>
      <c r="E53" s="202">
        <v>5</v>
      </c>
      <c r="F53" s="383" t="s">
        <v>224</v>
      </c>
      <c r="G53" s="204"/>
      <c r="H53" s="115"/>
      <c r="I53" s="66"/>
      <c r="J53" s="1185"/>
    </row>
    <row r="54" spans="2:10" s="57" customFormat="1" ht="19" x14ac:dyDescent="0.25">
      <c r="D54" s="71" t="s">
        <v>225</v>
      </c>
      <c r="E54" s="109">
        <f>E53-E52</f>
        <v>-1.6787974683544302</v>
      </c>
      <c r="G54" s="65"/>
      <c r="H54" s="116">
        <f>H53-H52</f>
        <v>-6.0427215189873413</v>
      </c>
      <c r="I54" s="66"/>
      <c r="J54" s="1185"/>
    </row>
    <row r="55" spans="2:10" s="57" customFormat="1" ht="20" thickBot="1" x14ac:dyDescent="0.3">
      <c r="D55" s="66" t="s">
        <v>226</v>
      </c>
      <c r="E55" s="105">
        <f>IFERROR(($D$5*5)/(E52/3),0)</f>
        <v>15.799999999999997</v>
      </c>
      <c r="H55" s="117">
        <f>IFERROR(5*$D$8/(H52/3),0)</f>
        <v>15.800000000000002</v>
      </c>
      <c r="J55" s="1186"/>
    </row>
    <row r="56" spans="2:10" x14ac:dyDescent="0.2">
      <c r="D56" t="s">
        <v>227</v>
      </c>
      <c r="E56" s="152">
        <f>+$E$49+$E$48+$H$48+$H$49+$D$44+$E$44+$F$44+$G$44+$H$44+$I$44</f>
        <v>12.721518987341771</v>
      </c>
      <c r="F56" s="11" t="s">
        <v>228</v>
      </c>
    </row>
    <row r="57" spans="2:10" x14ac:dyDescent="0.2">
      <c r="E57" s="952">
        <f>E56*2507</f>
        <v>31892.848101265819</v>
      </c>
    </row>
  </sheetData>
  <sheetProtection algorithmName="SHA-512" hashValue="AmnITTuQQFfB8ippyQnn0HUCXgmSiBagakr3r1BmevgnBSg6+WaOB5VL5VrdMeyPrdhVILlkiXOdH7c1NgjckQ==" saltValue="vnYpHDf64KaEICIWJyPmYg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E5421B-09DC-4D01-B56E-088717816EB3}">
          <x14:formula1>
            <xm:f>'Data Elements'!$A$3:$A$101</xm:f>
          </x14:formula1>
          <xm:sqref>C36</xm:sqref>
        </x14:dataValidation>
        <x14:dataValidation type="list" allowBlank="1" showInputMessage="1" showErrorMessage="1" xr:uid="{7BFE4908-7B4D-421C-83C9-E978C86807C5}">
          <x14:formula1>
            <xm:f>'Data Elements'!$F$3:$F$31</xm:f>
          </x14:formula1>
          <xm:sqref>D2</xm:sqref>
        </x14:dataValidation>
        <x14:dataValidation type="list" allowBlank="1" showInputMessage="1" showErrorMessage="1" xr:uid="{F1F983C2-3CBC-40EC-823F-11DFEF93D31F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BD12-5FED-4719-9D1D-91D3F1A93A28}">
  <sheetPr>
    <tabColor rgb="FF000000"/>
    <pageSetUpPr fitToPage="1"/>
  </sheetPr>
  <dimension ref="A1:M73"/>
  <sheetViews>
    <sheetView topLeftCell="C27" workbookViewId="0">
      <selection activeCell="H50" sqref="H50"/>
    </sheetView>
    <sheetView topLeftCell="B31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4" width="22.6640625" customWidth="1"/>
    <col min="5" max="5" width="16.6640625" customWidth="1"/>
    <col min="6" max="6" width="19.6640625" bestFit="1" customWidth="1"/>
    <col min="7" max="7" width="13" customWidth="1"/>
    <col min="8" max="9" width="26.6640625" customWidth="1"/>
    <col min="10" max="10" width="42.33203125" bestFit="1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4" x14ac:dyDescent="0.3">
      <c r="A2" s="1176" t="s">
        <v>181</v>
      </c>
      <c r="B2" s="1176"/>
      <c r="C2" s="1176"/>
      <c r="D2" s="8" t="s">
        <v>63</v>
      </c>
      <c r="E2" s="233"/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167.58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9.1573770491803277</v>
      </c>
    </row>
    <row r="7" spans="1:10" x14ac:dyDescent="0.2">
      <c r="B7" s="1180" t="s">
        <v>186</v>
      </c>
      <c r="C7" s="16" t="s">
        <v>187</v>
      </c>
      <c r="D7" s="173">
        <v>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151.61999999999998</v>
      </c>
    </row>
    <row r="9" spans="1:10" ht="17" thickBot="1" x14ac:dyDescent="0.25">
      <c r="B9" s="1182"/>
      <c r="C9" s="19" t="s">
        <v>10</v>
      </c>
      <c r="D9" s="20">
        <f>VLOOKUP($D$2,Overview!$A$4:$AC$31,26,0)</f>
        <v>8.2852459016393425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27" t="s">
        <v>621</v>
      </c>
      <c r="D21" s="118"/>
      <c r="E21" s="118"/>
      <c r="F21" s="118">
        <v>3</v>
      </c>
      <c r="G21" s="119"/>
      <c r="H21" s="119"/>
      <c r="I21" s="120">
        <v>3</v>
      </c>
      <c r="J21" s="35" t="s">
        <v>622</v>
      </c>
    </row>
    <row r="22" spans="2:10" x14ac:dyDescent="0.2">
      <c r="B22" s="36">
        <v>2</v>
      </c>
      <c r="C22" s="227" t="s">
        <v>623</v>
      </c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227" t="s">
        <v>624</v>
      </c>
      <c r="D23" s="121">
        <v>6</v>
      </c>
      <c r="E23" s="121"/>
      <c r="F23" s="121"/>
      <c r="G23" s="122">
        <v>6</v>
      </c>
      <c r="H23" s="122"/>
      <c r="I23" s="122"/>
      <c r="J23" s="38" t="s">
        <v>575</v>
      </c>
    </row>
    <row r="24" spans="2:10" x14ac:dyDescent="0.2">
      <c r="B24" s="36">
        <v>4</v>
      </c>
      <c r="C24" s="227" t="s">
        <v>625</v>
      </c>
      <c r="D24" s="121"/>
      <c r="E24" s="121"/>
      <c r="F24" s="121">
        <v>3</v>
      </c>
      <c r="G24" s="122"/>
      <c r="H24" s="122"/>
      <c r="I24" s="122">
        <v>3</v>
      </c>
      <c r="J24" s="38" t="s">
        <v>626</v>
      </c>
    </row>
    <row r="25" spans="2:10" x14ac:dyDescent="0.2">
      <c r="B25" s="36">
        <v>5</v>
      </c>
      <c r="C25" s="821" t="s">
        <v>627</v>
      </c>
      <c r="D25" s="121">
        <v>3</v>
      </c>
      <c r="E25" s="121"/>
      <c r="F25" s="121"/>
      <c r="G25" s="122">
        <v>3</v>
      </c>
      <c r="H25" s="122"/>
      <c r="I25" s="122"/>
      <c r="J25" s="38" t="s">
        <v>166</v>
      </c>
    </row>
    <row r="26" spans="2:10" x14ac:dyDescent="0.2">
      <c r="B26" s="36">
        <v>6</v>
      </c>
      <c r="C26" s="1" t="s">
        <v>344</v>
      </c>
      <c r="D26" s="121"/>
      <c r="E26" s="121">
        <v>3</v>
      </c>
      <c r="F26" s="121"/>
      <c r="G26" s="122"/>
      <c r="H26" s="122"/>
      <c r="I26" s="122"/>
      <c r="J26" s="38" t="s">
        <v>628</v>
      </c>
    </row>
    <row r="27" spans="2:10" x14ac:dyDescent="0.2">
      <c r="B27" s="36">
        <v>7</v>
      </c>
      <c r="C27" s="1" t="s">
        <v>344</v>
      </c>
      <c r="D27" s="121"/>
      <c r="E27" s="121">
        <v>3</v>
      </c>
      <c r="F27" s="121"/>
      <c r="G27" s="122"/>
      <c r="H27" s="122"/>
      <c r="I27" s="122"/>
      <c r="J27" s="38" t="s">
        <v>629</v>
      </c>
    </row>
    <row r="28" spans="2:10" x14ac:dyDescent="0.2">
      <c r="B28" s="36">
        <v>8</v>
      </c>
      <c r="C28" s="1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1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1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1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1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1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1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1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1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9</v>
      </c>
      <c r="E37" s="128">
        <f t="shared" si="0"/>
        <v>6</v>
      </c>
      <c r="F37" s="128">
        <f t="shared" si="0"/>
        <v>6</v>
      </c>
      <c r="G37" s="129">
        <f t="shared" si="0"/>
        <v>9</v>
      </c>
      <c r="H37" s="129">
        <f t="shared" si="0"/>
        <v>0</v>
      </c>
      <c r="I37" s="129">
        <f t="shared" si="0"/>
        <v>6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1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1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1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1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84</v>
      </c>
      <c r="D47" s="58" t="s">
        <v>217</v>
      </c>
      <c r="E47" s="224">
        <f>($D$4*12)-$E$37-$F$37-$D$37</f>
        <v>39</v>
      </c>
      <c r="H47" s="111">
        <f>($D$7*12)-$H$37-$I$37-$G$37</f>
        <v>45</v>
      </c>
      <c r="J47" s="1185" t="s">
        <v>386</v>
      </c>
    </row>
    <row r="48" spans="2:10" s="57" customFormat="1" ht="19" x14ac:dyDescent="0.25">
      <c r="B48" s="231">
        <f>SUM(E48:H48)</f>
        <v>18</v>
      </c>
      <c r="C48" s="58"/>
      <c r="D48" s="58" t="s">
        <v>218</v>
      </c>
      <c r="E48" s="224">
        <f>$E$37+$F$37</f>
        <v>12</v>
      </c>
      <c r="H48" s="111">
        <f>$H$37+$I$37</f>
        <v>6</v>
      </c>
      <c r="J48" s="1185"/>
    </row>
    <row r="49" spans="2:13" s="57" customFormat="1" ht="19" x14ac:dyDescent="0.25">
      <c r="B49" s="231">
        <f t="shared" si="3"/>
        <v>111.63934426229505</v>
      </c>
      <c r="C49" s="58"/>
      <c r="D49" s="58" t="s">
        <v>219</v>
      </c>
      <c r="E49" s="224">
        <f>(($D$6-$D$4)*15)-D44</f>
        <v>62.360655737704917</v>
      </c>
      <c r="H49" s="111">
        <f>(($D$9-$D$7)*15)-$G$44</f>
        <v>49.278688524590137</v>
      </c>
      <c r="J49" s="1185"/>
    </row>
    <row r="50" spans="2:13" s="57" customFormat="1" ht="19" x14ac:dyDescent="0.25">
      <c r="B50" s="230">
        <f>SUM(E50:H50)</f>
        <v>213.63934426229505</v>
      </c>
      <c r="C50" s="59"/>
      <c r="D50" s="59" t="s">
        <v>220</v>
      </c>
      <c r="E50" s="106">
        <f>SUM(E47:E49)</f>
        <v>113.36065573770492</v>
      </c>
      <c r="H50" s="112">
        <f>SUM(H47:H49)</f>
        <v>100.27868852459014</v>
      </c>
      <c r="J50" s="1185"/>
    </row>
    <row r="51" spans="2:13" s="60" customFormat="1" ht="19" x14ac:dyDescent="0.25">
      <c r="C51" s="61"/>
      <c r="D51" s="62" t="s">
        <v>221</v>
      </c>
      <c r="E51" s="107"/>
      <c r="F51" s="57"/>
      <c r="H51" s="113">
        <f>-E51</f>
        <v>0</v>
      </c>
      <c r="J51" s="1185"/>
    </row>
    <row r="52" spans="2:13" s="57" customFormat="1" ht="19" x14ac:dyDescent="0.25">
      <c r="D52" s="63" t="s">
        <v>222</v>
      </c>
      <c r="E52" s="108">
        <f>SUM(E50:E51)</f>
        <v>113.36065573770492</v>
      </c>
      <c r="G52" s="63"/>
      <c r="H52" s="114">
        <f>SUM(H50:H51)</f>
        <v>100.27868852459014</v>
      </c>
      <c r="I52" s="64"/>
      <c r="J52" s="1185"/>
    </row>
    <row r="53" spans="2:13" s="57" customFormat="1" ht="19" x14ac:dyDescent="0.25">
      <c r="D53" s="201" t="s">
        <v>278</v>
      </c>
      <c r="E53" s="202">
        <v>116</v>
      </c>
      <c r="F53" s="383" t="s">
        <v>224</v>
      </c>
      <c r="G53" s="204"/>
      <c r="H53" s="115"/>
      <c r="I53" s="66"/>
      <c r="J53" s="1185"/>
    </row>
    <row r="54" spans="2:13" s="57" customFormat="1" ht="19" x14ac:dyDescent="0.25">
      <c r="D54" s="71" t="s">
        <v>225</v>
      </c>
      <c r="E54" s="109">
        <f>E53-E52</f>
        <v>2.6393442622950829</v>
      </c>
      <c r="G54" s="65"/>
      <c r="H54" s="116">
        <f>H53-H52</f>
        <v>-100.27868852459014</v>
      </c>
      <c r="I54" s="66"/>
      <c r="J54" s="1185"/>
    </row>
    <row r="55" spans="2:13" s="57" customFormat="1" ht="19" x14ac:dyDescent="0.25">
      <c r="B55" s="267"/>
      <c r="D55" s="66" t="s">
        <v>226</v>
      </c>
      <c r="E55" s="105">
        <f>IFERROR(($D$5*5)/(E52/3),0)</f>
        <v>22.174360086767901</v>
      </c>
      <c r="H55" s="117">
        <f>IFERROR(5*$D$8/(H52/3),0)</f>
        <v>22.679794016674844</v>
      </c>
      <c r="J55" s="1186"/>
    </row>
    <row r="56" spans="2:13" x14ac:dyDescent="0.2">
      <c r="D56" t="s">
        <v>227</v>
      </c>
      <c r="E56" s="152">
        <f>+$E$49+$E$48+$H$48+$H$49+$D$44+$E$44+$F$44+$G$44+$H$44+$I$44</f>
        <v>129.63934426229505</v>
      </c>
      <c r="F56" s="11" t="s">
        <v>228</v>
      </c>
    </row>
    <row r="57" spans="2:13" x14ac:dyDescent="0.2">
      <c r="E57" s="952">
        <f>E56*2507</f>
        <v>325005.83606557368</v>
      </c>
    </row>
    <row r="61" spans="2:13" ht="68" x14ac:dyDescent="0.25">
      <c r="B61" s="232" t="s">
        <v>279</v>
      </c>
      <c r="C61" s="456" t="s">
        <v>230</v>
      </c>
      <c r="D61" s="457" t="s">
        <v>280</v>
      </c>
      <c r="E61" s="458" t="s">
        <v>234</v>
      </c>
      <c r="F61" s="456" t="s">
        <v>235</v>
      </c>
      <c r="G61" s="459" t="s">
        <v>236</v>
      </c>
      <c r="H61" s="459" t="s">
        <v>237</v>
      </c>
      <c r="I61" s="459" t="s">
        <v>238</v>
      </c>
      <c r="J61" s="458" t="s">
        <v>281</v>
      </c>
      <c r="K61" s="458" t="s">
        <v>282</v>
      </c>
      <c r="L61" s="458" t="s">
        <v>243</v>
      </c>
      <c r="M61" s="460" t="s">
        <v>244</v>
      </c>
    </row>
    <row r="62" spans="2:13" ht="17" x14ac:dyDescent="0.25">
      <c r="B62">
        <v>1</v>
      </c>
      <c r="C62" s="556" t="s">
        <v>630</v>
      </c>
      <c r="D62" s="590" t="s">
        <v>246</v>
      </c>
      <c r="E62" s="591" t="s">
        <v>252</v>
      </c>
      <c r="F62" s="556" t="s">
        <v>285</v>
      </c>
      <c r="G62" s="557">
        <v>1</v>
      </c>
      <c r="H62" s="557" t="s">
        <v>249</v>
      </c>
      <c r="I62" s="558"/>
      <c r="J62" s="559">
        <v>30</v>
      </c>
      <c r="K62" s="559"/>
      <c r="L62" s="624"/>
      <c r="M62" s="593" t="s">
        <v>249</v>
      </c>
    </row>
    <row r="63" spans="2:13" ht="17" x14ac:dyDescent="0.25">
      <c r="B63">
        <v>1</v>
      </c>
      <c r="C63" s="556" t="s">
        <v>631</v>
      </c>
      <c r="D63" s="590" t="s">
        <v>251</v>
      </c>
      <c r="E63" s="591" t="s">
        <v>252</v>
      </c>
      <c r="F63" s="556" t="s">
        <v>285</v>
      </c>
      <c r="G63" s="557">
        <v>1</v>
      </c>
      <c r="H63" s="557" t="s">
        <v>249</v>
      </c>
      <c r="I63" s="558"/>
      <c r="J63" s="559">
        <v>30</v>
      </c>
      <c r="K63" s="559"/>
      <c r="L63" s="624"/>
      <c r="M63" s="593" t="s">
        <v>249</v>
      </c>
    </row>
    <row r="64" spans="2:13" ht="17" x14ac:dyDescent="0.25">
      <c r="C64" s="461" t="s">
        <v>632</v>
      </c>
      <c r="D64" s="462" t="s">
        <v>246</v>
      </c>
      <c r="E64" s="464" t="s">
        <v>252</v>
      </c>
      <c r="F64" s="461" t="s">
        <v>248</v>
      </c>
      <c r="G64" s="465">
        <v>3</v>
      </c>
      <c r="H64" s="465">
        <v>1</v>
      </c>
      <c r="I64" s="526"/>
      <c r="J64" s="528">
        <v>27</v>
      </c>
      <c r="K64" s="528"/>
      <c r="L64" s="581"/>
      <c r="M64" s="351" t="s">
        <v>249</v>
      </c>
    </row>
    <row r="65" spans="2:13" ht="68" x14ac:dyDescent="0.25">
      <c r="C65" s="461" t="s">
        <v>633</v>
      </c>
      <c r="D65" s="462" t="s">
        <v>251</v>
      </c>
      <c r="E65" s="464" t="s">
        <v>252</v>
      </c>
      <c r="F65" s="461" t="s">
        <v>248</v>
      </c>
      <c r="G65" s="465">
        <v>3</v>
      </c>
      <c r="H65" s="465">
        <v>1</v>
      </c>
      <c r="I65" s="526" t="s">
        <v>634</v>
      </c>
      <c r="J65" s="528">
        <v>16</v>
      </c>
      <c r="K65" s="528"/>
      <c r="L65" s="581"/>
      <c r="M65" s="351" t="s">
        <v>249</v>
      </c>
    </row>
    <row r="66" spans="2:13" ht="17" x14ac:dyDescent="0.25">
      <c r="C66" s="461" t="s">
        <v>635</v>
      </c>
      <c r="D66" s="462" t="s">
        <v>246</v>
      </c>
      <c r="E66" s="464" t="s">
        <v>252</v>
      </c>
      <c r="F66" s="461" t="s">
        <v>248</v>
      </c>
      <c r="G66" s="465">
        <v>3</v>
      </c>
      <c r="H66" s="465">
        <v>1</v>
      </c>
      <c r="I66" s="526"/>
      <c r="J66" s="528">
        <v>8</v>
      </c>
      <c r="K66" s="528"/>
      <c r="L66" s="581"/>
      <c r="M66" s="351" t="s">
        <v>249</v>
      </c>
    </row>
    <row r="67" spans="2:13" ht="34" x14ac:dyDescent="0.25">
      <c r="C67" s="461" t="s">
        <v>636</v>
      </c>
      <c r="D67" s="462" t="s">
        <v>287</v>
      </c>
      <c r="E67" s="464" t="s">
        <v>252</v>
      </c>
      <c r="F67" s="461" t="s">
        <v>248</v>
      </c>
      <c r="G67" s="465" t="s">
        <v>301</v>
      </c>
      <c r="H67" s="465">
        <v>2</v>
      </c>
      <c r="I67" s="526" t="s">
        <v>363</v>
      </c>
      <c r="J67" s="528">
        <v>8</v>
      </c>
      <c r="K67" s="528"/>
      <c r="L67" s="581"/>
      <c r="M67" s="351" t="s">
        <v>249</v>
      </c>
    </row>
    <row r="68" spans="2:13" ht="17" x14ac:dyDescent="0.25">
      <c r="B68">
        <v>1</v>
      </c>
      <c r="C68" s="556" t="s">
        <v>637</v>
      </c>
      <c r="D68" s="590" t="s">
        <v>300</v>
      </c>
      <c r="E68" s="591" t="s">
        <v>252</v>
      </c>
      <c r="F68" s="556" t="s">
        <v>285</v>
      </c>
      <c r="G68" s="557" t="s">
        <v>301</v>
      </c>
      <c r="H68" s="557">
        <v>2</v>
      </c>
      <c r="I68" s="558"/>
      <c r="J68" s="559">
        <v>30</v>
      </c>
      <c r="K68" s="559"/>
      <c r="L68" s="624"/>
      <c r="M68" s="593" t="s">
        <v>424</v>
      </c>
    </row>
    <row r="69" spans="2:13" ht="17" x14ac:dyDescent="0.25">
      <c r="C69" s="461" t="s">
        <v>638</v>
      </c>
      <c r="D69" s="462" t="s">
        <v>300</v>
      </c>
      <c r="E69" s="464" t="s">
        <v>252</v>
      </c>
      <c r="F69" s="461" t="s">
        <v>248</v>
      </c>
      <c r="G69" s="465" t="s">
        <v>301</v>
      </c>
      <c r="H69" s="465">
        <v>2</v>
      </c>
      <c r="I69" s="526"/>
      <c r="J69" s="528">
        <v>16</v>
      </c>
      <c r="K69" s="528"/>
      <c r="L69" s="581"/>
      <c r="M69" s="351" t="s">
        <v>604</v>
      </c>
    </row>
    <row r="70" spans="2:13" ht="17" x14ac:dyDescent="0.25">
      <c r="C70" t="s">
        <v>639</v>
      </c>
      <c r="D70" s="462" t="s">
        <v>300</v>
      </c>
      <c r="E70" s="464" t="s">
        <v>252</v>
      </c>
      <c r="F70" s="461" t="s">
        <v>248</v>
      </c>
      <c r="G70" s="465" t="s">
        <v>301</v>
      </c>
      <c r="H70" s="465">
        <v>2</v>
      </c>
      <c r="I70" s="526" t="s">
        <v>358</v>
      </c>
      <c r="J70" s="528">
        <v>24</v>
      </c>
      <c r="K70" s="528"/>
      <c r="L70" s="581"/>
      <c r="M70" s="351" t="s">
        <v>359</v>
      </c>
    </row>
    <row r="71" spans="2:13" ht="17" x14ac:dyDescent="0.25">
      <c r="C71" s="351" t="s">
        <v>640</v>
      </c>
      <c r="D71" s="462" t="s">
        <v>641</v>
      </c>
      <c r="E71" s="464" t="s">
        <v>252</v>
      </c>
      <c r="F71" s="461" t="s">
        <v>248</v>
      </c>
      <c r="G71" s="465" t="s">
        <v>311</v>
      </c>
      <c r="H71" s="465">
        <v>2</v>
      </c>
      <c r="I71" s="526" t="s">
        <v>315</v>
      </c>
      <c r="J71" s="528">
        <v>0</v>
      </c>
      <c r="K71" s="528"/>
      <c r="L71" s="581"/>
      <c r="M71" s="351" t="s">
        <v>430</v>
      </c>
    </row>
    <row r="72" spans="2:13" ht="17" x14ac:dyDescent="0.25">
      <c r="C72" s="623" t="s">
        <v>642</v>
      </c>
      <c r="D72" s="582"/>
      <c r="E72" s="583"/>
      <c r="F72" s="548"/>
      <c r="G72" s="588"/>
      <c r="H72" s="588"/>
      <c r="I72" s="585" t="s">
        <v>321</v>
      </c>
      <c r="J72" s="551"/>
      <c r="K72" s="551"/>
      <c r="L72" s="552"/>
      <c r="M72" s="587"/>
    </row>
    <row r="73" spans="2:13" x14ac:dyDescent="0.2">
      <c r="B73" s="228">
        <f>SUM(B62:B72)</f>
        <v>3</v>
      </c>
      <c r="J73" s="443">
        <f>J62+J63+J68</f>
        <v>90</v>
      </c>
    </row>
  </sheetData>
  <sheetProtection algorithmName="SHA-512" hashValue="xRZAc92DvJBHE/iYcfvlQ2lTtnocfTyuHXrO49fdCuyzmHyyfYyoC3r6a7XntrDNko1FCiLLoIIJFcKenEX6KQ==" saltValue="PmVFpSfszwdCdQvpfOVC/Q==" spinCount="100000" sheet="1" objects="1" scenarios="1"/>
  <sortState xmlns:xlrd2="http://schemas.microsoft.com/office/spreadsheetml/2017/richdata2" ref="C22:C25">
    <sortCondition ref="C22:C25"/>
  </sortState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scale="4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A384A97-ED93-4E46-9A52-E62EF15885BD}">
          <x14:formula1>
            <xm:f>'Data Elements'!$F$3:$F$31</xm:f>
          </x14:formula1>
          <xm:sqref>D2</xm:sqref>
        </x14:dataValidation>
        <x14:dataValidation type="list" allowBlank="1" showInputMessage="1" showErrorMessage="1" xr:uid="{816247C6-875B-4DD2-A45C-8AC17A4D040F}">
          <x14:formula1>
            <xm:f>'Data Elements'!$A$3:$A$179</xm:f>
          </x14:formula1>
          <xm:sqref>C21:C24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0B74-028D-4CAE-A3FD-4C4FB900911C}">
  <sheetPr>
    <tabColor rgb="FF000000"/>
    <pageSetUpPr fitToPage="1"/>
  </sheetPr>
  <dimension ref="A1:M76"/>
  <sheetViews>
    <sheetView topLeftCell="A28" workbookViewId="0">
      <selection activeCell="H50" sqref="H50"/>
    </sheetView>
    <sheetView topLeftCell="A29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1.6640625" customWidth="1"/>
    <col min="4" max="4" width="16.83203125" customWidth="1"/>
    <col min="5" max="5" width="31.6640625" customWidth="1"/>
    <col min="6" max="6" width="18.6640625" bestFit="1" customWidth="1"/>
    <col min="7" max="7" width="5" bestFit="1" customWidth="1"/>
    <col min="8" max="8" width="8.6640625" bestFit="1" customWidth="1"/>
    <col min="9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354" t="s">
        <v>65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6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199.81500000000003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8.9603139013452928</v>
      </c>
    </row>
    <row r="7" spans="1:10" x14ac:dyDescent="0.2">
      <c r="B7" s="1180" t="s">
        <v>186</v>
      </c>
      <c r="C7" s="16" t="s">
        <v>187</v>
      </c>
      <c r="D7" s="173">
        <v>6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180.785</v>
      </c>
    </row>
    <row r="9" spans="1:10" ht="17" thickBot="1" x14ac:dyDescent="0.25">
      <c r="B9" s="1182"/>
      <c r="C9" s="19" t="s">
        <v>10</v>
      </c>
      <c r="D9" s="20">
        <f>VLOOKUP($D$2,Overview!$A$4:$AC$31,26,0)</f>
        <v>8.1069506726457394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27" t="s">
        <v>643</v>
      </c>
      <c r="D21" s="118"/>
      <c r="E21" s="118">
        <v>2</v>
      </c>
      <c r="F21" s="118">
        <v>3</v>
      </c>
      <c r="G21" s="119"/>
      <c r="H21" s="119"/>
      <c r="I21" s="120"/>
      <c r="J21" s="287" t="s">
        <v>644</v>
      </c>
    </row>
    <row r="22" spans="2:10" x14ac:dyDescent="0.2">
      <c r="B22" s="36">
        <v>2</v>
      </c>
      <c r="C22" s="227" t="s">
        <v>645</v>
      </c>
      <c r="D22" s="121"/>
      <c r="E22" s="121">
        <v>2</v>
      </c>
      <c r="F22" s="121">
        <v>3</v>
      </c>
      <c r="G22" s="122"/>
      <c r="H22" s="122"/>
      <c r="I22" s="122"/>
      <c r="J22" s="282" t="s">
        <v>646</v>
      </c>
    </row>
    <row r="23" spans="2:10" x14ac:dyDescent="0.2">
      <c r="B23" s="36">
        <v>3</v>
      </c>
      <c r="C23" s="227" t="s">
        <v>647</v>
      </c>
      <c r="D23" s="121">
        <v>9</v>
      </c>
      <c r="E23" s="121">
        <v>1.5</v>
      </c>
      <c r="F23" s="121"/>
      <c r="G23" s="122">
        <v>9</v>
      </c>
      <c r="H23" s="122"/>
      <c r="I23" s="122"/>
      <c r="J23" s="282" t="s">
        <v>648</v>
      </c>
    </row>
    <row r="24" spans="2:10" x14ac:dyDescent="0.2">
      <c r="B24" s="36">
        <v>4</v>
      </c>
      <c r="C24" s="227" t="s">
        <v>649</v>
      </c>
      <c r="D24" s="121"/>
      <c r="E24" s="121">
        <v>1</v>
      </c>
      <c r="F24" s="121">
        <v>6</v>
      </c>
      <c r="G24" s="122"/>
      <c r="H24" s="122"/>
      <c r="I24" s="122"/>
      <c r="J24" s="282" t="s">
        <v>650</v>
      </c>
    </row>
    <row r="25" spans="2:10" x14ac:dyDescent="0.2">
      <c r="B25" s="36">
        <v>5</v>
      </c>
      <c r="C25" s="227" t="s">
        <v>651</v>
      </c>
      <c r="D25" s="121"/>
      <c r="E25" s="121">
        <v>1</v>
      </c>
      <c r="F25" s="121"/>
      <c r="G25" s="122"/>
      <c r="H25" s="122"/>
      <c r="I25" s="122"/>
      <c r="J25" s="282" t="s">
        <v>652</v>
      </c>
    </row>
    <row r="26" spans="2:10" x14ac:dyDescent="0.2">
      <c r="B26" s="36">
        <v>6</v>
      </c>
      <c r="C26" s="822" t="s">
        <v>653</v>
      </c>
      <c r="D26" s="121"/>
      <c r="E26" s="121">
        <v>2</v>
      </c>
      <c r="F26" s="121">
        <v>3</v>
      </c>
      <c r="G26" s="122"/>
      <c r="H26" s="122"/>
      <c r="I26" s="122"/>
      <c r="J26" s="282" t="s">
        <v>654</v>
      </c>
    </row>
    <row r="27" spans="2:10" x14ac:dyDescent="0.2">
      <c r="B27" s="36">
        <v>7</v>
      </c>
      <c r="C27" s="369" t="s">
        <v>344</v>
      </c>
      <c r="D27" s="121"/>
      <c r="E27" s="121"/>
      <c r="F27" s="121"/>
      <c r="G27" s="122"/>
      <c r="H27" s="122">
        <v>4</v>
      </c>
      <c r="I27" s="122"/>
      <c r="J27" s="911" t="s">
        <v>655</v>
      </c>
    </row>
    <row r="28" spans="2:10" x14ac:dyDescent="0.2">
      <c r="B28" s="36">
        <v>8</v>
      </c>
      <c r="C28" s="369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69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69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69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69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69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69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69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369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9</v>
      </c>
      <c r="E37" s="128">
        <f t="shared" si="0"/>
        <v>9.5</v>
      </c>
      <c r="F37" s="128">
        <f t="shared" si="0"/>
        <v>15</v>
      </c>
      <c r="G37" s="129">
        <f t="shared" si="0"/>
        <v>9</v>
      </c>
      <c r="H37" s="129">
        <f t="shared" si="0"/>
        <v>4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284">
        <v>1</v>
      </c>
      <c r="C40" s="368" t="s">
        <v>656</v>
      </c>
      <c r="D40" s="361"/>
      <c r="E40" s="373"/>
      <c r="F40" s="361"/>
      <c r="G40" s="362"/>
      <c r="H40" s="362"/>
      <c r="I40" s="362"/>
      <c r="J40" s="760"/>
    </row>
    <row r="41" spans="2:10" x14ac:dyDescent="0.2">
      <c r="B41" s="284">
        <v>2</v>
      </c>
      <c r="C41" s="369"/>
      <c r="D41" s="360"/>
      <c r="E41" s="360"/>
      <c r="F41" s="360"/>
      <c r="G41" s="364"/>
      <c r="H41" s="364"/>
      <c r="I41" s="364"/>
      <c r="J41" s="365"/>
    </row>
    <row r="42" spans="2:10" ht="19" x14ac:dyDescent="0.25">
      <c r="B42" s="284">
        <v>3</v>
      </c>
      <c r="C42" s="370"/>
      <c r="D42" s="360"/>
      <c r="E42" s="360"/>
      <c r="F42" s="360"/>
      <c r="G42" s="364"/>
      <c r="H42" s="364"/>
      <c r="I42" s="364"/>
      <c r="J42" s="365"/>
    </row>
    <row r="43" spans="2:10" x14ac:dyDescent="0.2">
      <c r="B43" s="349">
        <v>4</v>
      </c>
      <c r="C43" s="350"/>
      <c r="D43" s="290"/>
      <c r="E43" s="123"/>
      <c r="F43" s="123"/>
      <c r="G43" s="127"/>
      <c r="H43" s="127"/>
      <c r="I43" s="127"/>
      <c r="J43" s="41"/>
    </row>
    <row r="44" spans="2:10" s="11" customFormat="1" ht="19" x14ac:dyDescent="0.25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97.5</v>
      </c>
      <c r="D47" s="58" t="s">
        <v>217</v>
      </c>
      <c r="E47" s="224">
        <f>($D$4*12)-$E$37-$F$37-$D$37</f>
        <v>38.5</v>
      </c>
      <c r="H47" s="111">
        <f>($D$7*12)-$H$37-$I$37-$G$37</f>
        <v>59</v>
      </c>
      <c r="J47" s="1185" t="s">
        <v>386</v>
      </c>
    </row>
    <row r="48" spans="2:10" s="57" customFormat="1" ht="19" x14ac:dyDescent="0.25">
      <c r="B48" s="231">
        <f t="shared" si="3"/>
        <v>28.5</v>
      </c>
      <c r="C48" s="58"/>
      <c r="D48" s="58" t="s">
        <v>218</v>
      </c>
      <c r="E48" s="224">
        <f>$E$37+$F$37</f>
        <v>24.5</v>
      </c>
      <c r="H48" s="111">
        <f>$H$37+$I$37</f>
        <v>4</v>
      </c>
      <c r="J48" s="1185"/>
    </row>
    <row r="49" spans="2:13" s="57" customFormat="1" ht="19" x14ac:dyDescent="0.25">
      <c r="B49" s="231">
        <f t="shared" si="3"/>
        <v>76.008968609865491</v>
      </c>
      <c r="C49" s="58"/>
      <c r="D49" s="58" t="s">
        <v>219</v>
      </c>
      <c r="E49" s="224">
        <f>(($D$6-$D$4)*15)-D44</f>
        <v>44.404708520179391</v>
      </c>
      <c r="H49" s="111">
        <f>(($D$9-$D$7)*15)-$G$44</f>
        <v>31.604260089686093</v>
      </c>
      <c r="J49" s="1185"/>
    </row>
    <row r="50" spans="2:13" s="57" customFormat="1" ht="19" x14ac:dyDescent="0.25">
      <c r="B50" s="230">
        <f>SUM(E50:H50)</f>
        <v>202.00896860986546</v>
      </c>
      <c r="C50" s="59"/>
      <c r="D50" s="59" t="s">
        <v>220</v>
      </c>
      <c r="E50" s="106">
        <f>SUM(E47:E49)</f>
        <v>107.40470852017938</v>
      </c>
      <c r="H50" s="112">
        <f>SUM(H47:H49)</f>
        <v>94.604260089686093</v>
      </c>
      <c r="J50" s="1185"/>
    </row>
    <row r="51" spans="2:13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3" s="57" customFormat="1" ht="20" thickBot="1" x14ac:dyDescent="0.3">
      <c r="D52" s="63" t="s">
        <v>222</v>
      </c>
      <c r="E52" s="108">
        <f>SUM(E50:E51)</f>
        <v>107.40470852017938</v>
      </c>
      <c r="G52" s="63"/>
      <c r="H52" s="114">
        <f>SUM(H50:H51)</f>
        <v>94.604260089686093</v>
      </c>
      <c r="I52" s="64"/>
      <c r="J52" s="1185"/>
    </row>
    <row r="53" spans="2:13" s="57" customFormat="1" ht="19" x14ac:dyDescent="0.25">
      <c r="D53" s="201" t="s">
        <v>278</v>
      </c>
      <c r="E53" s="202">
        <v>106</v>
      </c>
      <c r="F53" s="383" t="s">
        <v>657</v>
      </c>
      <c r="G53" s="204"/>
      <c r="H53" s="115"/>
      <c r="I53" s="66"/>
      <c r="J53" s="1185"/>
    </row>
    <row r="54" spans="2:13" s="57" customFormat="1" ht="19" x14ac:dyDescent="0.25">
      <c r="D54" s="71" t="s">
        <v>225</v>
      </c>
      <c r="E54" s="109">
        <f>E53-E52</f>
        <v>-1.4047085201793834</v>
      </c>
      <c r="G54" s="65"/>
      <c r="H54" s="116">
        <f>H53-H52</f>
        <v>-94.604260089686093</v>
      </c>
      <c r="I54" s="66"/>
      <c r="J54" s="1185"/>
    </row>
    <row r="55" spans="2:13" s="57" customFormat="1" ht="20" thickBot="1" x14ac:dyDescent="0.3">
      <c r="D55" s="66" t="s">
        <v>226</v>
      </c>
      <c r="E55" s="105">
        <f>IFERROR(($D$5*5)/(E52/3),0)</f>
        <v>27.905899483325509</v>
      </c>
      <c r="H55" s="117">
        <f>IFERROR(5*$D$8/(H52/3),0)</f>
        <v>28.664406839916101</v>
      </c>
      <c r="J55" s="1186"/>
    </row>
    <row r="57" spans="2:13" x14ac:dyDescent="0.2">
      <c r="D57" t="s">
        <v>227</v>
      </c>
      <c r="E57" s="152">
        <f>+$E$49+$E$48+$H$48+$H$49+$D$44+$E$44+$F$44+$G$44+H$44+$I$44</f>
        <v>104.50896860986548</v>
      </c>
      <c r="F57" s="11" t="s">
        <v>228</v>
      </c>
    </row>
    <row r="58" spans="2:13" x14ac:dyDescent="0.2">
      <c r="E58" s="953">
        <f>E57*2507</f>
        <v>262003.98430493276</v>
      </c>
    </row>
    <row r="61" spans="2:13" ht="68" x14ac:dyDescent="0.25">
      <c r="B61" s="232" t="s">
        <v>279</v>
      </c>
      <c r="C61" s="456" t="s">
        <v>230</v>
      </c>
      <c r="D61" s="457" t="s">
        <v>280</v>
      </c>
      <c r="E61" s="458" t="s">
        <v>234</v>
      </c>
      <c r="F61" s="456" t="s">
        <v>235</v>
      </c>
      <c r="G61" s="459" t="s">
        <v>236</v>
      </c>
      <c r="H61" s="459" t="s">
        <v>237</v>
      </c>
      <c r="I61" s="459" t="s">
        <v>238</v>
      </c>
      <c r="J61" s="458" t="s">
        <v>281</v>
      </c>
      <c r="K61" s="458" t="s">
        <v>282</v>
      </c>
      <c r="L61" s="458" t="s">
        <v>243</v>
      </c>
      <c r="M61" s="460" t="s">
        <v>244</v>
      </c>
    </row>
    <row r="62" spans="2:13" ht="17" x14ac:dyDescent="0.25">
      <c r="B62" s="633">
        <v>1</v>
      </c>
      <c r="C62" s="556" t="s">
        <v>658</v>
      </c>
      <c r="D62" s="590" t="s">
        <v>251</v>
      </c>
      <c r="E62" s="591" t="s">
        <v>247</v>
      </c>
      <c r="F62" s="594" t="s">
        <v>285</v>
      </c>
      <c r="G62" s="634">
        <v>1</v>
      </c>
      <c r="H62" s="634" t="s">
        <v>249</v>
      </c>
      <c r="I62" s="558" t="s">
        <v>659</v>
      </c>
      <c r="J62" s="559">
        <v>30</v>
      </c>
      <c r="K62" s="559"/>
      <c r="L62" s="612"/>
      <c r="M62" s="613" t="s">
        <v>249</v>
      </c>
    </row>
    <row r="63" spans="2:13" ht="34" x14ac:dyDescent="0.25">
      <c r="C63" s="567" t="s">
        <v>660</v>
      </c>
      <c r="D63" s="462" t="s">
        <v>287</v>
      </c>
      <c r="E63" s="464" t="s">
        <v>252</v>
      </c>
      <c r="F63" s="461" t="s">
        <v>248</v>
      </c>
      <c r="G63" s="625">
        <v>3</v>
      </c>
      <c r="H63" s="625">
        <v>1</v>
      </c>
      <c r="I63" s="526" t="s">
        <v>661</v>
      </c>
      <c r="J63" s="528">
        <v>27</v>
      </c>
      <c r="K63" s="527"/>
      <c r="L63" s="529"/>
      <c r="M63" s="470" t="s">
        <v>249</v>
      </c>
    </row>
    <row r="64" spans="2:13" ht="34" x14ac:dyDescent="0.25">
      <c r="B64" s="152"/>
      <c r="C64" s="461" t="s">
        <v>662</v>
      </c>
      <c r="D64" s="462" t="s">
        <v>287</v>
      </c>
      <c r="E64" s="464" t="s">
        <v>252</v>
      </c>
      <c r="F64" s="567" t="s">
        <v>248</v>
      </c>
      <c r="G64" s="625">
        <v>3</v>
      </c>
      <c r="H64" s="625">
        <v>1</v>
      </c>
      <c r="I64" s="526" t="s">
        <v>661</v>
      </c>
      <c r="J64" s="528">
        <v>6</v>
      </c>
      <c r="K64" s="527"/>
      <c r="L64" s="466"/>
      <c r="M64" s="470" t="s">
        <v>249</v>
      </c>
    </row>
    <row r="65" spans="2:13" ht="34" x14ac:dyDescent="0.25">
      <c r="C65" s="567" t="s">
        <v>663</v>
      </c>
      <c r="D65" s="462" t="s">
        <v>287</v>
      </c>
      <c r="E65" s="464" t="s">
        <v>247</v>
      </c>
      <c r="F65" s="567" t="s">
        <v>248</v>
      </c>
      <c r="G65" s="625">
        <v>3</v>
      </c>
      <c r="H65" s="625">
        <v>1</v>
      </c>
      <c r="I65" s="526" t="s">
        <v>661</v>
      </c>
      <c r="J65" s="528">
        <v>27</v>
      </c>
      <c r="K65" s="527"/>
      <c r="L65" s="466"/>
      <c r="M65" s="470" t="s">
        <v>249</v>
      </c>
    </row>
    <row r="66" spans="2:13" ht="17" x14ac:dyDescent="0.25">
      <c r="C66" s="567" t="s">
        <v>664</v>
      </c>
      <c r="D66" s="462" t="s">
        <v>300</v>
      </c>
      <c r="E66" s="464" t="s">
        <v>252</v>
      </c>
      <c r="F66" s="461" t="s">
        <v>248</v>
      </c>
      <c r="G66" s="625" t="s">
        <v>301</v>
      </c>
      <c r="H66" s="625">
        <v>2</v>
      </c>
      <c r="I66" s="526" t="s">
        <v>422</v>
      </c>
      <c r="J66" s="528">
        <v>15</v>
      </c>
      <c r="K66" s="527"/>
      <c r="L66" s="529"/>
      <c r="M66" s="470" t="s">
        <v>424</v>
      </c>
    </row>
    <row r="67" spans="2:13" ht="17" x14ac:dyDescent="0.25">
      <c r="C67" s="567" t="s">
        <v>665</v>
      </c>
      <c r="D67" s="462" t="s">
        <v>300</v>
      </c>
      <c r="E67" s="464" t="s">
        <v>247</v>
      </c>
      <c r="F67" s="461" t="s">
        <v>248</v>
      </c>
      <c r="G67" s="625" t="s">
        <v>301</v>
      </c>
      <c r="H67" s="625">
        <v>2</v>
      </c>
      <c r="I67" s="526" t="s">
        <v>422</v>
      </c>
      <c r="J67" s="528">
        <v>12</v>
      </c>
      <c r="K67" s="527"/>
      <c r="L67" s="529"/>
      <c r="M67" s="470" t="s">
        <v>666</v>
      </c>
    </row>
    <row r="68" spans="2:13" ht="17" x14ac:dyDescent="0.25">
      <c r="C68" s="37" t="s">
        <v>667</v>
      </c>
      <c r="D68" s="462" t="s">
        <v>300</v>
      </c>
      <c r="E68" s="464" t="s">
        <v>247</v>
      </c>
      <c r="F68" s="567" t="s">
        <v>248</v>
      </c>
      <c r="G68" s="625" t="s">
        <v>301</v>
      </c>
      <c r="H68" s="625">
        <v>2</v>
      </c>
      <c r="I68" s="526"/>
      <c r="J68" s="528">
        <v>6</v>
      </c>
      <c r="K68" s="527"/>
      <c r="L68" s="466"/>
      <c r="M68" s="470" t="s">
        <v>359</v>
      </c>
    </row>
    <row r="69" spans="2:13" ht="17" x14ac:dyDescent="0.25">
      <c r="C69" s="37" t="s">
        <v>668</v>
      </c>
      <c r="D69" s="462" t="s">
        <v>300</v>
      </c>
      <c r="E69" s="464" t="s">
        <v>247</v>
      </c>
      <c r="F69" s="567" t="s">
        <v>248</v>
      </c>
      <c r="G69" s="625" t="s">
        <v>301</v>
      </c>
      <c r="H69" s="625">
        <v>2</v>
      </c>
      <c r="I69" s="526"/>
      <c r="J69" s="528">
        <v>6</v>
      </c>
      <c r="K69" s="527"/>
      <c r="L69" s="466"/>
      <c r="M69" s="470" t="s">
        <v>359</v>
      </c>
    </row>
    <row r="70" spans="2:13" ht="17" x14ac:dyDescent="0.25">
      <c r="C70" s="37" t="s">
        <v>669</v>
      </c>
      <c r="D70" s="462" t="s">
        <v>300</v>
      </c>
      <c r="E70" s="464" t="s">
        <v>247</v>
      </c>
      <c r="F70" s="567" t="s">
        <v>248</v>
      </c>
      <c r="G70" s="625" t="s">
        <v>301</v>
      </c>
      <c r="H70" s="625">
        <v>2</v>
      </c>
      <c r="I70" s="526" t="s">
        <v>358</v>
      </c>
      <c r="J70" s="528">
        <v>6</v>
      </c>
      <c r="K70" s="527"/>
      <c r="L70" s="466"/>
      <c r="M70" s="470" t="s">
        <v>359</v>
      </c>
    </row>
    <row r="71" spans="2:13" ht="17" x14ac:dyDescent="0.25">
      <c r="C71" s="37" t="s">
        <v>670</v>
      </c>
      <c r="D71" s="462" t="s">
        <v>300</v>
      </c>
      <c r="E71" s="464" t="s">
        <v>252</v>
      </c>
      <c r="F71" s="567" t="s">
        <v>248</v>
      </c>
      <c r="G71" s="625" t="s">
        <v>301</v>
      </c>
      <c r="H71" s="625">
        <v>2</v>
      </c>
      <c r="I71" s="526" t="s">
        <v>358</v>
      </c>
      <c r="J71" s="528">
        <v>6</v>
      </c>
      <c r="K71" s="527"/>
      <c r="L71" s="466"/>
      <c r="M71" s="470" t="s">
        <v>359</v>
      </c>
    </row>
    <row r="72" spans="2:13" ht="34" x14ac:dyDescent="0.25">
      <c r="C72" s="461" t="s">
        <v>671</v>
      </c>
      <c r="D72" s="462" t="s">
        <v>310</v>
      </c>
      <c r="E72" s="464" t="s">
        <v>284</v>
      </c>
      <c r="F72" s="567" t="s">
        <v>248</v>
      </c>
      <c r="G72" s="625" t="s">
        <v>311</v>
      </c>
      <c r="H72" s="625">
        <v>2</v>
      </c>
      <c r="I72" s="526" t="s">
        <v>672</v>
      </c>
      <c r="J72" s="528">
        <v>0</v>
      </c>
      <c r="K72" s="527"/>
      <c r="L72" s="466"/>
      <c r="M72" s="470" t="s">
        <v>427</v>
      </c>
    </row>
    <row r="73" spans="2:13" ht="51" x14ac:dyDescent="0.25">
      <c r="C73" s="535" t="s">
        <v>673</v>
      </c>
      <c r="D73" s="569" t="s">
        <v>310</v>
      </c>
      <c r="E73" s="570" t="s">
        <v>247</v>
      </c>
      <c r="F73" s="626" t="s">
        <v>248</v>
      </c>
      <c r="G73" s="627" t="s">
        <v>311</v>
      </c>
      <c r="H73" s="627">
        <v>2</v>
      </c>
      <c r="I73" s="540" t="s">
        <v>674</v>
      </c>
      <c r="J73" s="538">
        <v>0</v>
      </c>
      <c r="K73" s="538"/>
      <c r="L73" s="628"/>
      <c r="M73" s="629" t="s">
        <v>675</v>
      </c>
    </row>
    <row r="74" spans="2:13" ht="17" x14ac:dyDescent="0.25">
      <c r="C74" s="630" t="s">
        <v>676</v>
      </c>
      <c r="D74" s="582"/>
      <c r="E74" s="583"/>
      <c r="F74" s="630"/>
      <c r="G74" s="631"/>
      <c r="H74" s="631"/>
      <c r="I74" s="585" t="s">
        <v>677</v>
      </c>
      <c r="J74" s="551"/>
      <c r="K74" s="551"/>
      <c r="L74" s="632"/>
      <c r="M74" s="607"/>
    </row>
    <row r="75" spans="2:13" ht="17" x14ac:dyDescent="0.25">
      <c r="C75" s="630" t="s">
        <v>678</v>
      </c>
      <c r="D75" s="582"/>
      <c r="E75" s="583"/>
      <c r="F75" s="630"/>
      <c r="G75" s="631"/>
      <c r="H75" s="631"/>
      <c r="I75" s="585" t="s">
        <v>677</v>
      </c>
      <c r="J75" s="551"/>
      <c r="K75" s="551"/>
      <c r="L75" s="606"/>
      <c r="M75" s="607"/>
    </row>
    <row r="76" spans="2:13" x14ac:dyDescent="0.2">
      <c r="B76" s="228">
        <f>SUM(B62:B62)</f>
        <v>1</v>
      </c>
      <c r="J76" s="443">
        <f>J62</f>
        <v>30</v>
      </c>
    </row>
  </sheetData>
  <sheetProtection algorithmName="SHA-512" hashValue="Kry6HsUJtQyJ+pHgT79zr7ND6xU4NWywGg0RAC2BWtuFMlhny+NdwVEJzFR0XG8kkosrqpPEZxUzln3feHeCMA==" saltValue="Cy6JU0fkv0dRQYSN1RsHag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6B7EA6-03BB-4BD8-8117-FF419A5B9D43}">
          <x14:formula1>
            <xm:f>'Data Elements'!$F$3:$F$31</xm:f>
          </x14:formula1>
          <xm:sqref>D2</xm:sqref>
        </x14:dataValidation>
        <x14:dataValidation type="list" allowBlank="1" showInputMessage="1" showErrorMessage="1" xr:uid="{994D47CF-AF01-48AF-8C37-748E0FFD6AD8}">
          <x14:formula1>
            <xm:f>'Data Elements'!$A$3:$A$179</xm:f>
          </x14:formula1>
          <xm:sqref>C21:C25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A653-4249-464C-B071-DDE0663FCFD0}">
  <sheetPr>
    <tabColor rgb="FF000000"/>
  </sheetPr>
  <dimension ref="A1:Q68"/>
  <sheetViews>
    <sheetView topLeftCell="C28" workbookViewId="0">
      <selection activeCell="H50" sqref="H50"/>
    </sheetView>
    <sheetView topLeftCell="C10" workbookViewId="1">
      <selection activeCell="J24" sqref="J2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4" width="23" customWidth="1"/>
    <col min="5" max="5" width="25.6640625" customWidth="1"/>
    <col min="6" max="6" width="22.83203125" customWidth="1"/>
    <col min="7" max="7" width="18.1640625" customWidth="1"/>
    <col min="8" max="8" width="18.6640625" customWidth="1"/>
    <col min="9" max="9" width="14.83203125" customWidth="1"/>
    <col min="10" max="10" width="54.1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66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7.5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134.505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8.3027777777777771</v>
      </c>
    </row>
    <row r="7" spans="1:10" x14ac:dyDescent="0.2">
      <c r="B7" s="1180" t="s">
        <v>186</v>
      </c>
      <c r="C7" s="16" t="s">
        <v>187</v>
      </c>
      <c r="D7" s="173">
        <v>7.5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121.69499999999999</v>
      </c>
    </row>
    <row r="9" spans="1:10" ht="17" thickBot="1" x14ac:dyDescent="0.25">
      <c r="B9" s="1182"/>
      <c r="C9" s="19" t="s">
        <v>10</v>
      </c>
      <c r="D9" s="20">
        <f>VLOOKUP($D$2,Overview!$A$4:$AC$31,26,0)</f>
        <v>7.5120370370370368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1" ht="16.25" customHeight="1" x14ac:dyDescent="0.2">
      <c r="B17" s="156"/>
      <c r="C17" s="155" t="s">
        <v>191</v>
      </c>
      <c r="J17" s="25"/>
    </row>
    <row r="18" spans="2:11" ht="16.25" customHeight="1" x14ac:dyDescent="0.2">
      <c r="B18" s="156"/>
      <c r="C18" s="155" t="s">
        <v>192</v>
      </c>
      <c r="J18" s="25"/>
    </row>
    <row r="19" spans="2:11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1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1" x14ac:dyDescent="0.2">
      <c r="B21" s="34">
        <v>1</v>
      </c>
      <c r="C21" s="273" t="s">
        <v>679</v>
      </c>
      <c r="D21" s="118"/>
      <c r="E21" s="118"/>
      <c r="F21" s="118"/>
      <c r="G21" s="119"/>
      <c r="H21" s="119"/>
      <c r="I21" s="120"/>
      <c r="J21" s="35"/>
    </row>
    <row r="22" spans="2:11" x14ac:dyDescent="0.2">
      <c r="B22" s="36">
        <v>2</v>
      </c>
      <c r="C22" s="271" t="s">
        <v>680</v>
      </c>
      <c r="D22" s="998">
        <v>6</v>
      </c>
      <c r="E22" s="121"/>
      <c r="F22" s="121"/>
      <c r="G22" s="122">
        <v>6</v>
      </c>
      <c r="H22" s="122"/>
      <c r="I22" s="122"/>
      <c r="J22" s="38" t="s">
        <v>575</v>
      </c>
      <c r="K22" t="s">
        <v>681</v>
      </c>
    </row>
    <row r="23" spans="2:11" x14ac:dyDescent="0.2">
      <c r="B23" s="36">
        <v>3</v>
      </c>
      <c r="C23" s="273" t="s">
        <v>682</v>
      </c>
      <c r="D23" s="121"/>
      <c r="E23" s="121"/>
      <c r="F23" s="121">
        <v>3</v>
      </c>
      <c r="G23" s="122"/>
      <c r="H23" s="122"/>
      <c r="I23" s="122"/>
      <c r="J23" s="38" t="s">
        <v>683</v>
      </c>
    </row>
    <row r="24" spans="2:11" x14ac:dyDescent="0.2">
      <c r="B24" s="36">
        <v>4</v>
      </c>
      <c r="C24" s="271" t="s">
        <v>684</v>
      </c>
      <c r="D24" s="121"/>
      <c r="E24" s="998">
        <v>3</v>
      </c>
      <c r="F24" s="121">
        <v>3</v>
      </c>
      <c r="G24" s="122"/>
      <c r="H24" s="122"/>
      <c r="I24" s="122"/>
      <c r="J24" s="38" t="s">
        <v>685</v>
      </c>
      <c r="K24" t="s">
        <v>686</v>
      </c>
    </row>
    <row r="25" spans="2:11" x14ac:dyDescent="0.2">
      <c r="B25" s="36">
        <v>5</v>
      </c>
      <c r="C25" s="273" t="s">
        <v>687</v>
      </c>
      <c r="D25" s="121"/>
      <c r="E25" s="121"/>
      <c r="F25" s="121">
        <v>12</v>
      </c>
      <c r="G25" s="122"/>
      <c r="H25" s="122"/>
      <c r="I25" s="122"/>
      <c r="J25" s="38" t="s">
        <v>688</v>
      </c>
      <c r="K25" t="s">
        <v>689</v>
      </c>
    </row>
    <row r="26" spans="2:11" x14ac:dyDescent="0.2">
      <c r="B26" s="36">
        <v>6</v>
      </c>
      <c r="C26" s="271" t="s">
        <v>690</v>
      </c>
      <c r="D26" s="121"/>
      <c r="E26" s="121"/>
      <c r="F26" s="121"/>
      <c r="G26" s="122"/>
      <c r="H26" s="122"/>
      <c r="I26" s="122"/>
      <c r="J26" s="38"/>
    </row>
    <row r="27" spans="2:11" x14ac:dyDescent="0.2">
      <c r="B27" s="36">
        <v>7</v>
      </c>
      <c r="C27" s="273" t="s">
        <v>691</v>
      </c>
      <c r="D27" s="121"/>
      <c r="E27" s="121"/>
      <c r="F27" s="121">
        <v>3</v>
      </c>
      <c r="G27" s="122"/>
      <c r="H27" s="122"/>
      <c r="I27" s="122"/>
      <c r="J27" s="38" t="s">
        <v>692</v>
      </c>
    </row>
    <row r="28" spans="2:11" x14ac:dyDescent="0.2">
      <c r="B28" s="36">
        <v>8</v>
      </c>
      <c r="C28" s="271" t="s">
        <v>693</v>
      </c>
      <c r="D28" s="121"/>
      <c r="E28" s="121"/>
      <c r="F28" s="121">
        <v>12</v>
      </c>
      <c r="G28" s="122"/>
      <c r="H28" s="122"/>
      <c r="I28" s="122"/>
      <c r="J28" s="38" t="s">
        <v>688</v>
      </c>
      <c r="K28" t="s">
        <v>689</v>
      </c>
    </row>
    <row r="29" spans="2:11" x14ac:dyDescent="0.2">
      <c r="B29" s="36">
        <v>9</v>
      </c>
      <c r="C29" s="227" t="s">
        <v>344</v>
      </c>
      <c r="D29" s="121"/>
      <c r="E29" s="121"/>
      <c r="F29" s="121"/>
      <c r="G29" s="122"/>
      <c r="H29" s="122"/>
      <c r="I29" s="122"/>
      <c r="J29" s="38"/>
    </row>
    <row r="30" spans="2:11" x14ac:dyDescent="0.2">
      <c r="B30" s="36">
        <v>10</v>
      </c>
      <c r="C30" s="227"/>
      <c r="D30" s="121"/>
      <c r="E30" s="121"/>
      <c r="F30" s="121"/>
      <c r="G30" s="122"/>
      <c r="H30" s="122"/>
      <c r="I30" s="122"/>
      <c r="J30" s="38"/>
    </row>
    <row r="31" spans="2:11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1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x14ac:dyDescent="0.2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6</v>
      </c>
      <c r="E37" s="128">
        <f t="shared" si="0"/>
        <v>3</v>
      </c>
      <c r="F37" s="128">
        <f t="shared" si="0"/>
        <v>33</v>
      </c>
      <c r="G37" s="129">
        <f t="shared" si="0"/>
        <v>6</v>
      </c>
      <c r="H37" s="129">
        <f t="shared" si="0"/>
        <v>0</v>
      </c>
      <c r="I37" s="129">
        <f t="shared" si="0"/>
        <v>0</v>
      </c>
      <c r="J37" s="53">
        <f>SUM(D37:I37)</f>
        <v>48</v>
      </c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5">
      <c r="B40" s="36">
        <v>1</v>
      </c>
      <c r="C40" s="57" t="s">
        <v>694</v>
      </c>
      <c r="D40" s="121"/>
      <c r="E40" s="121"/>
      <c r="F40" s="121"/>
      <c r="G40" s="126"/>
      <c r="H40" s="126"/>
      <c r="I40" s="126"/>
      <c r="J40" s="38"/>
    </row>
    <row r="41" spans="2:10" ht="19" x14ac:dyDescent="0.25">
      <c r="B41" s="36">
        <v>2</v>
      </c>
      <c r="C41" s="57"/>
      <c r="D41" s="121"/>
      <c r="E41" s="121"/>
      <c r="F41" s="121"/>
      <c r="G41" s="126"/>
      <c r="H41" s="126"/>
      <c r="I41" s="126"/>
      <c r="J41" s="38"/>
    </row>
    <row r="42" spans="2:10" ht="19" x14ac:dyDescent="0.25">
      <c r="B42" s="36">
        <v>3</v>
      </c>
      <c r="C42" s="57"/>
      <c r="D42" s="121"/>
      <c r="E42" s="121"/>
      <c r="F42" s="121"/>
      <c r="G42" s="126"/>
      <c r="H42" s="126"/>
      <c r="I42" s="126"/>
      <c r="J42" s="38"/>
    </row>
    <row r="43" spans="2:10" ht="19" x14ac:dyDescent="0.25">
      <c r="B43" s="39">
        <v>4</v>
      </c>
      <c r="C43" s="5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132</v>
      </c>
      <c r="D47" s="58" t="s">
        <v>217</v>
      </c>
      <c r="E47" s="224">
        <f>($D$4*12)-$E$37-$F$37-$D$37</f>
        <v>48</v>
      </c>
      <c r="H47" s="111">
        <f>($D$7*12)-$H$37-$I$37-$G$37</f>
        <v>84</v>
      </c>
      <c r="J47" s="1185" t="s">
        <v>386</v>
      </c>
    </row>
    <row r="48" spans="2:10" s="57" customFormat="1" ht="19" x14ac:dyDescent="0.25">
      <c r="B48" s="231">
        <f t="shared" si="3"/>
        <v>36</v>
      </c>
      <c r="C48" s="58"/>
      <c r="D48" s="58" t="s">
        <v>218</v>
      </c>
      <c r="E48" s="224">
        <f>$E$37+$F$37</f>
        <v>36</v>
      </c>
      <c r="H48" s="111">
        <f>$H$37+$I$37</f>
        <v>0</v>
      </c>
      <c r="J48" s="1185"/>
    </row>
    <row r="49" spans="1:17" s="57" customFormat="1" ht="19" x14ac:dyDescent="0.25">
      <c r="B49" s="231">
        <f t="shared" si="3"/>
        <v>12.222222222222211</v>
      </c>
      <c r="C49" s="58"/>
      <c r="D49" s="58" t="s">
        <v>219</v>
      </c>
      <c r="E49" s="224">
        <f>(($D$6-$D$4)*15)-D44</f>
        <v>12.041666666666657</v>
      </c>
      <c r="H49" s="111">
        <f>(($D$9-$D$7)*15)-$G$44</f>
        <v>0.18055555555555269</v>
      </c>
      <c r="J49" s="1185"/>
    </row>
    <row r="50" spans="1:17" s="57" customFormat="1" ht="19" x14ac:dyDescent="0.25">
      <c r="B50" s="230">
        <f>SUM(E50:H50)</f>
        <v>180.22222222222223</v>
      </c>
      <c r="C50" s="59"/>
      <c r="D50" s="59" t="s">
        <v>220</v>
      </c>
      <c r="E50" s="106">
        <f>SUM(E47:E49)</f>
        <v>96.041666666666657</v>
      </c>
      <c r="H50" s="112">
        <f>SUM(H47:H49)</f>
        <v>84.180555555555557</v>
      </c>
      <c r="J50" s="1185"/>
    </row>
    <row r="51" spans="1:17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1:17" s="57" customFormat="1" ht="20" thickBot="1" x14ac:dyDescent="0.3">
      <c r="D52" s="63" t="s">
        <v>222</v>
      </c>
      <c r="E52" s="108">
        <f>SUM(E50:E51)</f>
        <v>96.041666666666657</v>
      </c>
      <c r="G52" s="63"/>
      <c r="H52" s="114">
        <f>SUM(H50:H51)</f>
        <v>84.180555555555557</v>
      </c>
      <c r="I52" s="64"/>
      <c r="J52" s="1185"/>
    </row>
    <row r="53" spans="1:17" s="57" customFormat="1" ht="19" x14ac:dyDescent="0.25">
      <c r="D53" s="201" t="s">
        <v>278</v>
      </c>
      <c r="E53" s="202">
        <v>96</v>
      </c>
      <c r="F53" s="383" t="s">
        <v>224</v>
      </c>
      <c r="G53" s="204"/>
      <c r="H53" s="115"/>
      <c r="I53" s="66"/>
      <c r="J53" s="1185"/>
    </row>
    <row r="54" spans="1:17" s="57" customFormat="1" ht="19" x14ac:dyDescent="0.25">
      <c r="D54" s="71" t="s">
        <v>225</v>
      </c>
      <c r="E54" s="109">
        <f>E53-E52</f>
        <v>-4.1666666666657193E-2</v>
      </c>
      <c r="G54" s="65"/>
      <c r="H54" s="116">
        <f>H53-H52</f>
        <v>-84.180555555555557</v>
      </c>
      <c r="I54" s="66"/>
      <c r="J54" s="1185"/>
    </row>
    <row r="55" spans="1:17" s="57" customFormat="1" ht="20" thickBot="1" x14ac:dyDescent="0.3">
      <c r="D55" s="66" t="s">
        <v>226</v>
      </c>
      <c r="E55" s="105">
        <f>IFERROR(($D$5*5)/(E52/3),0)</f>
        <v>21.007288503253797</v>
      </c>
      <c r="H55" s="117">
        <f>IFERROR(5*$D$8/(H52/3),0)</f>
        <v>21.684639498432599</v>
      </c>
      <c r="J55" s="1186"/>
    </row>
    <row r="56" spans="1:17" x14ac:dyDescent="0.2">
      <c r="D56" t="s">
        <v>227</v>
      </c>
      <c r="E56" s="152">
        <f>+$E$49+$E$48+$H$48+$H$49+$D$44+$E$44+$F$44+$G$44+$H$44+$I$44</f>
        <v>48.222222222222207</v>
      </c>
      <c r="F56" s="11" t="s">
        <v>228</v>
      </c>
    </row>
    <row r="57" spans="1:17" x14ac:dyDescent="0.2">
      <c r="E57" s="953">
        <f>E56*2507</f>
        <v>120893.11111111108</v>
      </c>
    </row>
    <row r="61" spans="1:17" ht="68" x14ac:dyDescent="0.25">
      <c r="B61" s="232" t="s">
        <v>279</v>
      </c>
      <c r="C61" s="963" t="s">
        <v>230</v>
      </c>
      <c r="D61" s="964" t="s">
        <v>231</v>
      </c>
      <c r="E61" s="963" t="s">
        <v>232</v>
      </c>
      <c r="F61" s="963" t="s">
        <v>233</v>
      </c>
      <c r="G61" s="963" t="s">
        <v>234</v>
      </c>
      <c r="H61" s="963" t="s">
        <v>235</v>
      </c>
      <c r="I61" s="963" t="s">
        <v>236</v>
      </c>
      <c r="J61" s="963" t="s">
        <v>237</v>
      </c>
      <c r="K61" s="963" t="s">
        <v>238</v>
      </c>
      <c r="L61" s="963" t="s">
        <v>239</v>
      </c>
      <c r="M61" s="963" t="s">
        <v>240</v>
      </c>
      <c r="N61" s="963" t="s">
        <v>241</v>
      </c>
      <c r="O61" s="963" t="s">
        <v>242</v>
      </c>
      <c r="P61" s="963" t="s">
        <v>243</v>
      </c>
      <c r="Q61" s="982" t="s">
        <v>244</v>
      </c>
    </row>
    <row r="62" spans="1:17" ht="17" x14ac:dyDescent="0.25">
      <c r="A62" s="633"/>
      <c r="B62" s="993">
        <v>1</v>
      </c>
      <c r="C62" s="994" t="s">
        <v>695</v>
      </c>
      <c r="D62" s="995" t="s">
        <v>287</v>
      </c>
      <c r="E62" s="996">
        <v>7440</v>
      </c>
      <c r="F62" s="997">
        <v>2976</v>
      </c>
      <c r="G62" s="994" t="s">
        <v>284</v>
      </c>
      <c r="H62" s="994" t="s">
        <v>285</v>
      </c>
      <c r="I62" s="994">
        <v>1</v>
      </c>
      <c r="J62" s="966" t="s">
        <v>249</v>
      </c>
      <c r="K62" s="983"/>
      <c r="L62" s="966">
        <v>30</v>
      </c>
      <c r="M62" s="969"/>
      <c r="N62" s="969"/>
      <c r="O62" s="969"/>
      <c r="P62" s="969"/>
      <c r="Q62" s="984" t="s">
        <v>249</v>
      </c>
    </row>
    <row r="63" spans="1:17" ht="17" x14ac:dyDescent="0.25">
      <c r="C63" s="966" t="s">
        <v>696</v>
      </c>
      <c r="D63" s="965" t="s">
        <v>251</v>
      </c>
      <c r="E63" s="967">
        <v>7199</v>
      </c>
      <c r="F63" s="968">
        <v>2879.6</v>
      </c>
      <c r="G63" s="966" t="s">
        <v>284</v>
      </c>
      <c r="H63" s="966" t="s">
        <v>248</v>
      </c>
      <c r="I63" s="966">
        <v>3</v>
      </c>
      <c r="J63" s="966">
        <v>1</v>
      </c>
      <c r="K63" s="983"/>
      <c r="L63" s="966">
        <v>21</v>
      </c>
      <c r="M63" s="969"/>
      <c r="N63" s="969"/>
      <c r="O63" s="969"/>
      <c r="P63" s="969"/>
      <c r="Q63" s="984" t="s">
        <v>249</v>
      </c>
    </row>
    <row r="64" spans="1:17" ht="17" x14ac:dyDescent="0.25">
      <c r="C64" s="966" t="s">
        <v>697</v>
      </c>
      <c r="D64" s="985" t="s">
        <v>246</v>
      </c>
      <c r="E64" s="987">
        <v>5570</v>
      </c>
      <c r="F64" s="968">
        <v>2228</v>
      </c>
      <c r="G64" s="986" t="s">
        <v>247</v>
      </c>
      <c r="H64" s="986" t="s">
        <v>248</v>
      </c>
      <c r="I64" s="986">
        <v>3</v>
      </c>
      <c r="J64" s="986">
        <v>1</v>
      </c>
      <c r="K64" s="988"/>
      <c r="L64" s="986">
        <v>18</v>
      </c>
      <c r="M64" s="989"/>
      <c r="N64" s="989"/>
      <c r="O64" s="969"/>
      <c r="P64" s="989"/>
      <c r="Q64" s="984" t="s">
        <v>249</v>
      </c>
    </row>
    <row r="65" spans="2:17" ht="17" x14ac:dyDescent="0.25">
      <c r="C65" s="966" t="s">
        <v>698</v>
      </c>
      <c r="D65" s="965" t="s">
        <v>246</v>
      </c>
      <c r="E65" s="967">
        <v>5981</v>
      </c>
      <c r="F65" s="968">
        <v>2392.4</v>
      </c>
      <c r="G65" s="966" t="s">
        <v>252</v>
      </c>
      <c r="H65" s="966" t="s">
        <v>248</v>
      </c>
      <c r="I65" s="966">
        <v>3</v>
      </c>
      <c r="J65" s="966">
        <v>1</v>
      </c>
      <c r="K65" s="983"/>
      <c r="L65" s="966">
        <v>12</v>
      </c>
      <c r="M65" s="969"/>
      <c r="N65" s="969"/>
      <c r="O65" s="969"/>
      <c r="P65" s="969"/>
      <c r="Q65" s="984" t="s">
        <v>249</v>
      </c>
    </row>
    <row r="66" spans="2:17" ht="17" x14ac:dyDescent="0.25">
      <c r="C66" s="966" t="s">
        <v>699</v>
      </c>
      <c r="D66" s="966" t="s">
        <v>300</v>
      </c>
      <c r="E66" s="967">
        <v>5548</v>
      </c>
      <c r="F66" s="968">
        <v>2219.1999999999998</v>
      </c>
      <c r="G66" s="966" t="s">
        <v>247</v>
      </c>
      <c r="H66" s="966" t="s">
        <v>248</v>
      </c>
      <c r="I66" s="966" t="s">
        <v>301</v>
      </c>
      <c r="J66" s="986">
        <v>2</v>
      </c>
      <c r="K66" s="983"/>
      <c r="L66" s="986">
        <v>12</v>
      </c>
      <c r="M66" s="966"/>
      <c r="N66" s="966"/>
      <c r="O66" s="984"/>
      <c r="P66" s="990"/>
      <c r="Q66" s="984" t="s">
        <v>307</v>
      </c>
    </row>
    <row r="67" spans="2:17" ht="119" x14ac:dyDescent="0.25">
      <c r="C67" s="966" t="s">
        <v>700</v>
      </c>
      <c r="D67" s="991" t="s">
        <v>701</v>
      </c>
      <c r="E67" s="967">
        <v>5298</v>
      </c>
      <c r="F67" s="968">
        <v>2119.1999999999998</v>
      </c>
      <c r="G67" s="966" t="s">
        <v>247</v>
      </c>
      <c r="H67" s="966" t="s">
        <v>248</v>
      </c>
      <c r="I67" s="966" t="s">
        <v>311</v>
      </c>
      <c r="J67" s="966">
        <v>2</v>
      </c>
      <c r="K67" s="992" t="s">
        <v>702</v>
      </c>
      <c r="L67" s="966"/>
      <c r="M67" s="966"/>
      <c r="N67" s="966"/>
      <c r="O67" s="966"/>
      <c r="P67" s="969"/>
      <c r="Q67" s="966" t="s">
        <v>617</v>
      </c>
    </row>
    <row r="68" spans="2:17" x14ac:dyDescent="0.2">
      <c r="B68" s="228">
        <f>SUM(B62:B65)</f>
        <v>1</v>
      </c>
    </row>
  </sheetData>
  <sheetProtection algorithmName="SHA-512" hashValue="+8y/NBKLAD/IzDMVe0oZqPJ177n7qO3vn2R7i5ivAasqJkq4xj0LXRpR0km9TGEw7kS9ycBLUVuA/NDPI54jdw==" saltValue="F0wdzgpF6l3k+iZ5AM84WQ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7B8E587-85C0-478B-A94D-297BEB33BD5F}">
          <x14:formula1>
            <xm:f>'Data Elements'!$F$3:$F$31</xm:f>
          </x14:formula1>
          <xm:sqref>D2</xm:sqref>
        </x14:dataValidation>
        <x14:dataValidation type="list" allowBlank="1" showInputMessage="1" showErrorMessage="1" xr:uid="{D31A6C87-33B9-49D2-A7EC-97A7384EA276}">
          <x14:formula1>
            <xm:f>'Data Elements'!$A$3:$A$101</xm:f>
          </x14:formula1>
          <xm:sqref>C36</xm:sqref>
        </x14:dataValidation>
        <x14:dataValidation type="list" allowBlank="1" showInputMessage="1" showErrorMessage="1" xr:uid="{3AA0C367-DEE0-410E-86A5-03541F8EFE2F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21EA0-43D8-4C55-9885-68130A3D53EE}">
  <sheetPr>
    <tabColor rgb="FF000000"/>
  </sheetPr>
  <dimension ref="A1:M77"/>
  <sheetViews>
    <sheetView topLeftCell="A28" workbookViewId="0">
      <selection activeCell="H50" sqref="H50"/>
    </sheetView>
    <sheetView topLeftCell="B43" workbookViewId="1">
      <selection activeCell="F54" sqref="F54"/>
    </sheetView>
  </sheetViews>
  <sheetFormatPr baseColWidth="10" defaultColWidth="10.6640625" defaultRowHeight="16" x14ac:dyDescent="0.2"/>
  <cols>
    <col min="1" max="1" width="2.33203125" customWidth="1"/>
    <col min="2" max="2" width="22.6640625" bestFit="1" customWidth="1"/>
    <col min="3" max="3" width="50.1640625" bestFit="1" customWidth="1"/>
    <col min="4" max="4" width="11.6640625" customWidth="1"/>
    <col min="5" max="5" width="18.6640625" customWidth="1"/>
    <col min="6" max="6" width="17.5" bestFit="1" customWidth="1"/>
    <col min="7" max="7" width="5" bestFit="1" customWidth="1"/>
    <col min="8" max="8" width="8.6640625" bestFit="1" customWidth="1"/>
    <col min="9" max="9" width="22.83203125" bestFit="1" customWidth="1"/>
    <col min="10" max="10" width="58" bestFit="1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67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11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202.125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11.960059171597635</v>
      </c>
    </row>
    <row r="7" spans="1:10" x14ac:dyDescent="0.2">
      <c r="B7" s="1180" t="s">
        <v>186</v>
      </c>
      <c r="C7" s="16" t="s">
        <v>187</v>
      </c>
      <c r="D7" s="173">
        <v>11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182.875</v>
      </c>
    </row>
    <row r="9" spans="1:10" ht="17" thickBot="1" x14ac:dyDescent="0.25">
      <c r="B9" s="1182"/>
      <c r="C9" s="19" t="s">
        <v>10</v>
      </c>
      <c r="D9" s="20">
        <f>VLOOKUP($D$2,Overview!$A$4:$AC$31,26,0)</f>
        <v>10.821005917159765</v>
      </c>
    </row>
    <row r="10" spans="1:10" x14ac:dyDescent="0.2">
      <c r="B10" s="151"/>
      <c r="C10" s="70"/>
      <c r="D10" s="152"/>
      <c r="E10" s="343" t="s">
        <v>703</v>
      </c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ht="17" x14ac:dyDescent="0.2">
      <c r="B21" s="34">
        <v>1</v>
      </c>
      <c r="C21" s="227" t="s">
        <v>704</v>
      </c>
      <c r="D21" s="118"/>
      <c r="E21" s="118"/>
      <c r="F21" s="118"/>
      <c r="G21" s="119"/>
      <c r="H21" s="119"/>
      <c r="I21" s="120"/>
      <c r="J21" s="336" t="s">
        <v>705</v>
      </c>
    </row>
    <row r="22" spans="2:10" x14ac:dyDescent="0.2">
      <c r="B22" s="36">
        <v>2</v>
      </c>
      <c r="C22" s="227" t="s">
        <v>706</v>
      </c>
      <c r="D22" s="121">
        <v>6</v>
      </c>
      <c r="E22" s="121"/>
      <c r="F22" s="121"/>
      <c r="G22" s="122">
        <v>6</v>
      </c>
      <c r="H22" s="122"/>
      <c r="I22" s="122"/>
      <c r="J22" s="35" t="s">
        <v>201</v>
      </c>
    </row>
    <row r="23" spans="2:10" x14ac:dyDescent="0.2">
      <c r="B23" s="36">
        <v>3</v>
      </c>
      <c r="C23" s="227" t="s">
        <v>707</v>
      </c>
      <c r="D23" s="121"/>
      <c r="E23" s="121"/>
      <c r="F23" s="121"/>
      <c r="G23" s="122"/>
      <c r="H23" s="122"/>
      <c r="I23" s="122">
        <v>3</v>
      </c>
      <c r="J23" s="38" t="s">
        <v>708</v>
      </c>
    </row>
    <row r="24" spans="2:10" x14ac:dyDescent="0.2">
      <c r="B24" s="36">
        <v>4</v>
      </c>
      <c r="C24" s="227" t="s">
        <v>709</v>
      </c>
      <c r="D24" s="121"/>
      <c r="E24" s="121"/>
      <c r="F24" s="121">
        <v>6</v>
      </c>
      <c r="G24" s="122"/>
      <c r="H24" s="122"/>
      <c r="I24" s="122">
        <v>3</v>
      </c>
      <c r="J24" s="38" t="s">
        <v>710</v>
      </c>
    </row>
    <row r="25" spans="2:10" x14ac:dyDescent="0.2">
      <c r="B25" s="36">
        <v>5</v>
      </c>
      <c r="C25" s="227" t="s">
        <v>711</v>
      </c>
      <c r="D25" s="121"/>
      <c r="E25" s="121"/>
      <c r="F25" s="121"/>
      <c r="G25" s="122"/>
      <c r="H25" s="122"/>
      <c r="I25" s="122"/>
      <c r="J25" s="874"/>
    </row>
    <row r="26" spans="2:10" x14ac:dyDescent="0.2">
      <c r="B26" s="36">
        <v>6</v>
      </c>
      <c r="C26" s="227" t="s">
        <v>712</v>
      </c>
      <c r="D26" s="121"/>
      <c r="E26" s="121">
        <v>1</v>
      </c>
      <c r="F26" s="121"/>
      <c r="G26" s="122"/>
      <c r="H26" s="122"/>
      <c r="I26" s="122"/>
      <c r="J26" s="38" t="s">
        <v>713</v>
      </c>
    </row>
    <row r="27" spans="2:10" x14ac:dyDescent="0.2">
      <c r="B27" s="36">
        <v>7</v>
      </c>
      <c r="C27" s="227" t="s">
        <v>714</v>
      </c>
      <c r="D27" s="121"/>
      <c r="E27" s="121"/>
      <c r="F27" s="121">
        <v>12</v>
      </c>
      <c r="G27" s="122"/>
      <c r="H27" s="122"/>
      <c r="I27" s="122">
        <v>12</v>
      </c>
      <c r="J27" s="38" t="s">
        <v>715</v>
      </c>
    </row>
    <row r="28" spans="2:10" x14ac:dyDescent="0.2">
      <c r="B28" s="36">
        <v>8</v>
      </c>
      <c r="C28" s="227" t="s">
        <v>716</v>
      </c>
      <c r="D28" s="121"/>
      <c r="E28" s="121"/>
      <c r="F28" s="121">
        <v>3</v>
      </c>
      <c r="G28" s="122"/>
      <c r="H28" s="122"/>
      <c r="I28" s="122">
        <v>3</v>
      </c>
      <c r="J28" s="38" t="s">
        <v>717</v>
      </c>
    </row>
    <row r="29" spans="2:10" x14ac:dyDescent="0.2">
      <c r="B29" s="36">
        <v>9</v>
      </c>
      <c r="C29" s="227" t="s">
        <v>718</v>
      </c>
      <c r="D29" s="121"/>
      <c r="E29" s="121"/>
      <c r="F29" s="121">
        <v>12</v>
      </c>
      <c r="G29" s="122"/>
      <c r="H29" s="122"/>
      <c r="I29" s="122"/>
      <c r="J29" s="874" t="s">
        <v>719</v>
      </c>
    </row>
    <row r="30" spans="2:10" x14ac:dyDescent="0.2">
      <c r="B30" s="36">
        <v>10</v>
      </c>
      <c r="C30" s="227" t="s">
        <v>720</v>
      </c>
      <c r="D30" s="121"/>
      <c r="E30" s="121"/>
      <c r="F30" s="121">
        <v>3</v>
      </c>
      <c r="G30" s="122"/>
      <c r="H30" s="122"/>
      <c r="I30" s="122"/>
      <c r="J30" s="38" t="s">
        <v>721</v>
      </c>
    </row>
    <row r="31" spans="2:10" x14ac:dyDescent="0.2">
      <c r="B31" s="36">
        <v>11</v>
      </c>
      <c r="C31" s="227" t="s">
        <v>722</v>
      </c>
      <c r="D31" s="121"/>
      <c r="E31" s="121">
        <v>2</v>
      </c>
      <c r="F31" s="121">
        <v>6</v>
      </c>
      <c r="G31" s="122"/>
      <c r="H31" s="122"/>
      <c r="I31" s="122"/>
      <c r="J31" s="874" t="s">
        <v>723</v>
      </c>
    </row>
    <row r="32" spans="2:10" x14ac:dyDescent="0.2">
      <c r="B32" s="36">
        <v>12</v>
      </c>
      <c r="C32" s="37" t="s">
        <v>344</v>
      </c>
      <c r="D32" s="121"/>
      <c r="E32" s="121">
        <v>3</v>
      </c>
      <c r="F32" s="121"/>
      <c r="G32" s="122"/>
      <c r="H32" s="122"/>
      <c r="I32" s="122"/>
      <c r="J32" s="38" t="s">
        <v>628</v>
      </c>
    </row>
    <row r="33" spans="2:10" x14ac:dyDescent="0.2">
      <c r="B33" s="36">
        <v>13</v>
      </c>
      <c r="C33" s="37" t="s">
        <v>344</v>
      </c>
      <c r="D33" s="121"/>
      <c r="E33" s="121">
        <v>15</v>
      </c>
      <c r="F33" s="121"/>
      <c r="G33" s="122"/>
      <c r="H33" s="377"/>
      <c r="I33" s="122"/>
      <c r="J33" s="38" t="s">
        <v>724</v>
      </c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6</v>
      </c>
      <c r="E37" s="128">
        <f t="shared" si="0"/>
        <v>21</v>
      </c>
      <c r="F37" s="128">
        <f t="shared" si="0"/>
        <v>42</v>
      </c>
      <c r="G37" s="129">
        <f t="shared" si="0"/>
        <v>6</v>
      </c>
      <c r="H37" s="129">
        <f t="shared" si="0"/>
        <v>0</v>
      </c>
      <c r="I37" s="129">
        <f t="shared" si="0"/>
        <v>21</v>
      </c>
      <c r="J37" s="53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284">
        <v>1</v>
      </c>
      <c r="C40" s="351" t="s">
        <v>725</v>
      </c>
      <c r="D40" s="285"/>
      <c r="E40" s="121"/>
      <c r="F40" s="121"/>
      <c r="G40" s="126"/>
      <c r="H40" s="126"/>
      <c r="I40" s="126"/>
      <c r="J40" s="38"/>
    </row>
    <row r="41" spans="2:10" x14ac:dyDescent="0.2">
      <c r="B41" s="284">
        <v>2</v>
      </c>
      <c r="C41" s="351" t="s">
        <v>726</v>
      </c>
      <c r="D41" s="285"/>
      <c r="E41" s="121"/>
      <c r="F41" s="121"/>
      <c r="G41" s="126"/>
      <c r="H41" s="126"/>
      <c r="I41" s="126"/>
      <c r="J41" s="38" t="s">
        <v>727</v>
      </c>
    </row>
    <row r="42" spans="2:10" x14ac:dyDescent="0.2">
      <c r="B42" s="284">
        <v>3</v>
      </c>
      <c r="C42" s="351" t="s">
        <v>728</v>
      </c>
      <c r="D42" s="285"/>
      <c r="E42" s="121"/>
      <c r="F42" s="121">
        <v>8</v>
      </c>
      <c r="G42" s="126"/>
      <c r="H42" s="126"/>
      <c r="I42" s="126"/>
      <c r="J42" s="38"/>
    </row>
    <row r="43" spans="2:10" x14ac:dyDescent="0.2">
      <c r="B43" s="349">
        <v>4</v>
      </c>
      <c r="C43" s="352" t="s">
        <v>729</v>
      </c>
      <c r="D43" s="290"/>
      <c r="E43" s="123"/>
      <c r="F43" s="123"/>
      <c r="G43" s="127"/>
      <c r="H43" s="127"/>
      <c r="I43" s="127"/>
      <c r="J43" s="41"/>
    </row>
    <row r="44" spans="2:10" s="11" customFormat="1" ht="19" x14ac:dyDescent="0.25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8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8</v>
      </c>
    </row>
    <row r="45" spans="2:10" ht="6" customHeight="1" thickBot="1" x14ac:dyDescent="0.25"/>
    <row r="46" spans="2:10" s="54" customFormat="1" ht="19" x14ac:dyDescent="0.25">
      <c r="B46" s="229" t="s">
        <v>50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>SUM(E47:H47)</f>
        <v>168</v>
      </c>
      <c r="D47" s="58" t="s">
        <v>217</v>
      </c>
      <c r="E47" s="224">
        <f>($D$4*12)-$E$37-$F$37-$D$37</f>
        <v>63</v>
      </c>
      <c r="H47" s="111">
        <f>($D$7*12)-$H$37-$I$37-$G$37</f>
        <v>105</v>
      </c>
      <c r="J47" s="1185" t="s">
        <v>386</v>
      </c>
    </row>
    <row r="48" spans="2:10" s="57" customFormat="1" ht="19" x14ac:dyDescent="0.25">
      <c r="B48" s="231">
        <f t="shared" ref="B48:B49" si="3">SUM(E48:H48)</f>
        <v>84</v>
      </c>
      <c r="C48" s="58"/>
      <c r="D48" s="58" t="s">
        <v>218</v>
      </c>
      <c r="E48" s="224">
        <f>$E$37+$F$37</f>
        <v>63</v>
      </c>
      <c r="H48" s="111">
        <f>$H$37+$I$37</f>
        <v>21</v>
      </c>
      <c r="J48" s="1185"/>
    </row>
    <row r="49" spans="2:13" s="57" customFormat="1" ht="19" x14ac:dyDescent="0.25">
      <c r="B49" s="231">
        <f t="shared" si="3"/>
        <v>11.715976331360993</v>
      </c>
      <c r="C49" s="58"/>
      <c r="D49" s="58" t="s">
        <v>219</v>
      </c>
      <c r="E49" s="224">
        <f>(($D$6-$D$4)*15)-D44</f>
        <v>14.400887573964525</v>
      </c>
      <c r="H49" s="111">
        <f>(($D$9-$D$7)*15)-$G$44</f>
        <v>-2.6849112426035315</v>
      </c>
      <c r="J49" s="1185"/>
    </row>
    <row r="50" spans="2:13" s="57" customFormat="1" ht="20" thickBot="1" x14ac:dyDescent="0.3">
      <c r="B50" s="230">
        <f>SUM(E50:H50)</f>
        <v>263.71597633136099</v>
      </c>
      <c r="C50" s="59"/>
      <c r="D50" s="59" t="s">
        <v>220</v>
      </c>
      <c r="E50" s="106">
        <f>SUM(E47:E49)</f>
        <v>140.40088757396452</v>
      </c>
      <c r="H50" s="112">
        <f>SUM(H47:H49)</f>
        <v>123.31508875739647</v>
      </c>
      <c r="J50" s="1185"/>
    </row>
    <row r="51" spans="2:13" s="60" customFormat="1" ht="19" x14ac:dyDescent="0.25">
      <c r="B51" s="342"/>
      <c r="C51" s="61"/>
      <c r="D51" s="62" t="s">
        <v>221</v>
      </c>
      <c r="E51" s="107"/>
      <c r="H51" s="113">
        <f>-E51</f>
        <v>0</v>
      </c>
      <c r="J51" s="1185"/>
    </row>
    <row r="52" spans="2:13" s="57" customFormat="1" ht="19" x14ac:dyDescent="0.25">
      <c r="B52" s="371"/>
      <c r="D52" s="63" t="s">
        <v>222</v>
      </c>
      <c r="E52" s="108">
        <f>SUM(E50:E51)</f>
        <v>140.40088757396452</v>
      </c>
      <c r="G52" s="63"/>
      <c r="H52" s="114">
        <f>SUM(H50:H51)</f>
        <v>123.31508875739647</v>
      </c>
      <c r="I52" s="64"/>
      <c r="J52" s="1185"/>
    </row>
    <row r="53" spans="2:13" s="57" customFormat="1" ht="19" x14ac:dyDescent="0.25">
      <c r="D53" s="201" t="s">
        <v>278</v>
      </c>
      <c r="E53" s="202">
        <v>151.19999999999999</v>
      </c>
      <c r="F53" s="203" t="s">
        <v>224</v>
      </c>
      <c r="G53" s="204"/>
      <c r="H53" s="115"/>
      <c r="I53" s="66"/>
      <c r="J53" s="1185"/>
    </row>
    <row r="54" spans="2:13" s="57" customFormat="1" ht="19" x14ac:dyDescent="0.25">
      <c r="D54" s="71" t="s">
        <v>225</v>
      </c>
      <c r="E54" s="109">
        <f>E53-E52</f>
        <v>10.799112426035464</v>
      </c>
      <c r="G54" s="65"/>
      <c r="H54" s="116">
        <f>H53-H52</f>
        <v>-123.31508875739647</v>
      </c>
      <c r="I54" s="66"/>
      <c r="J54" s="1185"/>
    </row>
    <row r="55" spans="2:13" s="57" customFormat="1" ht="20" thickBot="1" x14ac:dyDescent="0.3">
      <c r="D55" s="66" t="s">
        <v>226</v>
      </c>
      <c r="E55" s="105">
        <f>IFERROR(($D$5*5)/(E52/3),0)</f>
        <v>21.594414767519041</v>
      </c>
      <c r="H55" s="117">
        <f>IFERROR(5*$D$8/(H52/3),0)</f>
        <v>22.244844711555761</v>
      </c>
      <c r="J55" s="1186"/>
    </row>
    <row r="57" spans="2:13" x14ac:dyDescent="0.2">
      <c r="D57" t="s">
        <v>227</v>
      </c>
      <c r="E57" s="152">
        <f>+$E$49+$E$48+$H$48+$H$49+$D$44+$E$44+$F$44+$G$44+$H$44+$I$44</f>
        <v>103.71597633136099</v>
      </c>
      <c r="F57" s="11" t="s">
        <v>228</v>
      </c>
    </row>
    <row r="58" spans="2:13" x14ac:dyDescent="0.2">
      <c r="E58" s="953">
        <f>E57*2507</f>
        <v>260015.952662722</v>
      </c>
    </row>
    <row r="61" spans="2:13" ht="68" x14ac:dyDescent="0.25">
      <c r="B61" s="232" t="s">
        <v>279</v>
      </c>
      <c r="C61" s="635" t="s">
        <v>230</v>
      </c>
      <c r="D61" s="636" t="s">
        <v>280</v>
      </c>
      <c r="E61" s="637" t="s">
        <v>234</v>
      </c>
      <c r="F61" s="635" t="s">
        <v>235</v>
      </c>
      <c r="G61" s="638" t="s">
        <v>236</v>
      </c>
      <c r="H61" s="638" t="s">
        <v>237</v>
      </c>
      <c r="I61" s="638" t="s">
        <v>238</v>
      </c>
      <c r="J61" s="637" t="s">
        <v>281</v>
      </c>
      <c r="K61" s="637" t="s">
        <v>282</v>
      </c>
      <c r="L61" s="637" t="s">
        <v>243</v>
      </c>
      <c r="M61" s="637" t="s">
        <v>244</v>
      </c>
    </row>
    <row r="62" spans="2:13" ht="17" x14ac:dyDescent="0.25">
      <c r="B62">
        <v>1</v>
      </c>
      <c r="C62" s="590" t="s">
        <v>730</v>
      </c>
      <c r="D62" s="590" t="s">
        <v>287</v>
      </c>
      <c r="E62" s="591" t="s">
        <v>284</v>
      </c>
      <c r="F62" s="590" t="s">
        <v>285</v>
      </c>
      <c r="G62" s="644">
        <v>1</v>
      </c>
      <c r="H62" s="644" t="s">
        <v>249</v>
      </c>
      <c r="I62" s="564"/>
      <c r="J62" s="559">
        <v>30</v>
      </c>
      <c r="K62" s="559"/>
      <c r="L62" s="624"/>
      <c r="M62" s="613" t="s">
        <v>249</v>
      </c>
    </row>
    <row r="63" spans="2:13" ht="17" x14ac:dyDescent="0.25">
      <c r="B63">
        <v>1</v>
      </c>
      <c r="C63" s="556" t="s">
        <v>731</v>
      </c>
      <c r="D63" s="590" t="s">
        <v>251</v>
      </c>
      <c r="E63" s="591" t="s">
        <v>284</v>
      </c>
      <c r="F63" s="556" t="s">
        <v>285</v>
      </c>
      <c r="G63" s="557">
        <v>1</v>
      </c>
      <c r="H63" s="557" t="s">
        <v>249</v>
      </c>
      <c r="I63" s="645"/>
      <c r="J63" s="559">
        <v>30</v>
      </c>
      <c r="K63" s="559"/>
      <c r="L63" s="560"/>
      <c r="M63" s="613" t="s">
        <v>249</v>
      </c>
    </row>
    <row r="64" spans="2:13" ht="17" x14ac:dyDescent="0.25">
      <c r="B64">
        <v>1</v>
      </c>
      <c r="C64" s="590" t="s">
        <v>732</v>
      </c>
      <c r="D64" s="590" t="s">
        <v>251</v>
      </c>
      <c r="E64" s="591" t="s">
        <v>284</v>
      </c>
      <c r="F64" s="590" t="s">
        <v>285</v>
      </c>
      <c r="G64" s="644">
        <v>1</v>
      </c>
      <c r="H64" s="644" t="s">
        <v>249</v>
      </c>
      <c r="I64" s="614"/>
      <c r="J64" s="559">
        <v>30</v>
      </c>
      <c r="K64" s="559"/>
      <c r="L64" s="624"/>
      <c r="M64" s="613" t="s">
        <v>249</v>
      </c>
    </row>
    <row r="65" spans="2:13" ht="17" x14ac:dyDescent="0.25">
      <c r="C65" s="461" t="s">
        <v>733</v>
      </c>
      <c r="D65" s="462" t="s">
        <v>287</v>
      </c>
      <c r="E65" s="464" t="s">
        <v>284</v>
      </c>
      <c r="F65" s="461" t="s">
        <v>248</v>
      </c>
      <c r="G65" s="465">
        <v>3</v>
      </c>
      <c r="H65" s="465">
        <v>1</v>
      </c>
      <c r="I65" s="600"/>
      <c r="J65" s="528">
        <v>15</v>
      </c>
      <c r="K65" s="527"/>
      <c r="L65" s="529"/>
      <c r="M65" s="470" t="s">
        <v>249</v>
      </c>
    </row>
    <row r="66" spans="2:13" ht="17" x14ac:dyDescent="0.25">
      <c r="C66" s="461" t="s">
        <v>734</v>
      </c>
      <c r="D66" s="462" t="s">
        <v>251</v>
      </c>
      <c r="E66" s="464" t="s">
        <v>252</v>
      </c>
      <c r="F66" s="461" t="s">
        <v>248</v>
      </c>
      <c r="G66" s="465">
        <v>3</v>
      </c>
      <c r="H66" s="465">
        <v>1</v>
      </c>
      <c r="I66" s="600"/>
      <c r="J66" s="528">
        <v>13</v>
      </c>
      <c r="K66" s="527"/>
      <c r="L66" s="529"/>
      <c r="M66" s="470" t="s">
        <v>249</v>
      </c>
    </row>
    <row r="67" spans="2:13" ht="17" x14ac:dyDescent="0.25">
      <c r="C67" s="462" t="s">
        <v>735</v>
      </c>
      <c r="D67" s="462" t="s">
        <v>251</v>
      </c>
      <c r="E67" s="464" t="s">
        <v>368</v>
      </c>
      <c r="F67" s="462" t="s">
        <v>248</v>
      </c>
      <c r="G67" s="639">
        <v>3</v>
      </c>
      <c r="H67" s="639">
        <v>1</v>
      </c>
      <c r="I67" s="600"/>
      <c r="J67" s="528">
        <v>18</v>
      </c>
      <c r="K67" s="527"/>
      <c r="L67" s="581"/>
      <c r="M67" s="470" t="s">
        <v>249</v>
      </c>
    </row>
    <row r="68" spans="2:13" ht="17" x14ac:dyDescent="0.25">
      <c r="C68" s="462" t="s">
        <v>736</v>
      </c>
      <c r="D68" s="462" t="s">
        <v>287</v>
      </c>
      <c r="E68" s="464" t="s">
        <v>247</v>
      </c>
      <c r="F68" s="462" t="s">
        <v>248</v>
      </c>
      <c r="G68" s="639">
        <v>3</v>
      </c>
      <c r="H68" s="639">
        <v>1</v>
      </c>
      <c r="I68" s="640" t="s">
        <v>294</v>
      </c>
      <c r="J68" s="528">
        <v>18</v>
      </c>
      <c r="K68" s="527"/>
      <c r="L68" s="581"/>
      <c r="M68" s="470" t="s">
        <v>249</v>
      </c>
    </row>
    <row r="69" spans="2:13" ht="17" x14ac:dyDescent="0.25">
      <c r="C69" s="462" t="s">
        <v>737</v>
      </c>
      <c r="D69" s="462" t="s">
        <v>251</v>
      </c>
      <c r="E69" s="464" t="s">
        <v>252</v>
      </c>
      <c r="F69" s="462" t="s">
        <v>248</v>
      </c>
      <c r="G69" s="639">
        <v>3</v>
      </c>
      <c r="H69" s="639">
        <v>1</v>
      </c>
      <c r="I69" s="641"/>
      <c r="J69" s="528">
        <v>20.6</v>
      </c>
      <c r="K69" s="527"/>
      <c r="L69" s="581"/>
      <c r="M69" s="470" t="s">
        <v>249</v>
      </c>
    </row>
    <row r="70" spans="2:13" ht="17" x14ac:dyDescent="0.25">
      <c r="C70" s="642" t="s">
        <v>729</v>
      </c>
      <c r="D70" s="462" t="s">
        <v>287</v>
      </c>
      <c r="E70" s="464" t="s">
        <v>247</v>
      </c>
      <c r="F70" s="461" t="s">
        <v>248</v>
      </c>
      <c r="G70" s="639">
        <v>3</v>
      </c>
      <c r="H70" s="639">
        <v>1</v>
      </c>
      <c r="I70" s="640"/>
      <c r="J70" s="528">
        <v>18</v>
      </c>
      <c r="K70" s="527"/>
      <c r="L70" s="529"/>
      <c r="M70" s="470" t="s">
        <v>249</v>
      </c>
    </row>
    <row r="71" spans="2:13" ht="17" x14ac:dyDescent="0.25">
      <c r="C71" s="642" t="s">
        <v>738</v>
      </c>
      <c r="D71" s="462" t="s">
        <v>287</v>
      </c>
      <c r="E71" s="464" t="s">
        <v>252</v>
      </c>
      <c r="F71" s="462" t="s">
        <v>248</v>
      </c>
      <c r="G71" s="639">
        <v>3</v>
      </c>
      <c r="H71" s="639">
        <v>1</v>
      </c>
      <c r="I71" s="640" t="s">
        <v>509</v>
      </c>
      <c r="J71" s="528">
        <v>28.2</v>
      </c>
      <c r="K71" s="527"/>
      <c r="L71" s="581"/>
      <c r="M71" s="470" t="s">
        <v>249</v>
      </c>
    </row>
    <row r="72" spans="2:13" ht="17" x14ac:dyDescent="0.25">
      <c r="C72" s="567" t="s">
        <v>739</v>
      </c>
      <c r="D72" s="462" t="s">
        <v>300</v>
      </c>
      <c r="E72" s="464" t="s">
        <v>252</v>
      </c>
      <c r="F72" s="462" t="s">
        <v>248</v>
      </c>
      <c r="G72" s="639" t="s">
        <v>301</v>
      </c>
      <c r="H72" s="639">
        <v>2</v>
      </c>
      <c r="I72" s="640"/>
      <c r="J72" s="528">
        <v>27</v>
      </c>
      <c r="K72" s="527"/>
      <c r="L72" s="581"/>
      <c r="M72" s="470" t="s">
        <v>424</v>
      </c>
    </row>
    <row r="73" spans="2:13" ht="17" x14ac:dyDescent="0.25">
      <c r="C73" s="462" t="s">
        <v>740</v>
      </c>
      <c r="D73" s="462" t="s">
        <v>300</v>
      </c>
      <c r="E73" s="464" t="s">
        <v>252</v>
      </c>
      <c r="F73" s="462" t="s">
        <v>248</v>
      </c>
      <c r="G73" s="639" t="s">
        <v>301</v>
      </c>
      <c r="H73" s="639">
        <v>2</v>
      </c>
      <c r="I73" s="640" t="s">
        <v>294</v>
      </c>
      <c r="J73" s="528">
        <v>9</v>
      </c>
      <c r="K73" s="527"/>
      <c r="L73" s="581"/>
      <c r="M73" s="470" t="s">
        <v>524</v>
      </c>
    </row>
    <row r="74" spans="2:13" ht="17" x14ac:dyDescent="0.25">
      <c r="C74" s="462" t="s">
        <v>741</v>
      </c>
      <c r="D74" s="462" t="s">
        <v>300</v>
      </c>
      <c r="E74" s="464" t="s">
        <v>252</v>
      </c>
      <c r="F74" s="462" t="s">
        <v>248</v>
      </c>
      <c r="G74" s="639" t="s">
        <v>301</v>
      </c>
      <c r="H74" s="639">
        <v>2</v>
      </c>
      <c r="I74" s="640"/>
      <c r="J74" s="528">
        <v>19.3</v>
      </c>
      <c r="K74" s="527"/>
      <c r="L74" s="581"/>
      <c r="M74" s="470" t="s">
        <v>524</v>
      </c>
    </row>
    <row r="75" spans="2:13" ht="17" x14ac:dyDescent="0.25">
      <c r="C75" t="s">
        <v>742</v>
      </c>
      <c r="D75" s="462" t="s">
        <v>300</v>
      </c>
      <c r="E75" s="464" t="s">
        <v>252</v>
      </c>
      <c r="F75" s="462" t="s">
        <v>248</v>
      </c>
      <c r="G75" s="639" t="s">
        <v>301</v>
      </c>
      <c r="H75" s="639">
        <v>2</v>
      </c>
      <c r="I75" s="643" t="s">
        <v>358</v>
      </c>
      <c r="J75" s="528">
        <v>6</v>
      </c>
      <c r="K75" s="527"/>
      <c r="L75" s="581"/>
      <c r="M75" s="470" t="s">
        <v>359</v>
      </c>
    </row>
    <row r="76" spans="2:13" ht="17" x14ac:dyDescent="0.25">
      <c r="C76" s="548" t="s">
        <v>743</v>
      </c>
      <c r="D76" s="582"/>
      <c r="E76" s="583"/>
      <c r="F76" s="548"/>
      <c r="G76" s="588"/>
      <c r="H76" s="588"/>
      <c r="I76" s="621" t="s">
        <v>321</v>
      </c>
      <c r="J76" s="551"/>
      <c r="K76" s="551"/>
      <c r="L76" s="552"/>
      <c r="M76" s="607"/>
    </row>
    <row r="77" spans="2:13" x14ac:dyDescent="0.2">
      <c r="B77" s="228">
        <f>SUM(B62:B76)</f>
        <v>3</v>
      </c>
      <c r="J77" s="443">
        <f>SUM(J62:J64)</f>
        <v>90</v>
      </c>
    </row>
  </sheetData>
  <sheetProtection algorithmName="SHA-512" hashValue="iqoWtGD/jPUyIIBFJLTP0CZ+S+YloVK9bi7NarY4uAWQfZsE9z5zMXL43Dsd08YPI5rTHC1TWVCvvdvcrZoXNA==" saltValue="xBXb0ClK6KdrLc6LFu2O1g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68CD74-7BA4-4C23-8717-8CCDDB55BA32}">
          <x14:formula1>
            <xm:f>'Data Elements'!$A$3:$A$101</xm:f>
          </x14:formula1>
          <xm:sqref>C36</xm:sqref>
        </x14:dataValidation>
        <x14:dataValidation type="list" allowBlank="1" showInputMessage="1" showErrorMessage="1" xr:uid="{B65E5830-6E69-432F-A14E-B9BFCC43E2A7}">
          <x14:formula1>
            <xm:f>'Data Elements'!$F$3:$F$31</xm:f>
          </x14:formula1>
          <xm:sqref>D2</xm:sqref>
        </x14:dataValidation>
        <x14:dataValidation type="list" allowBlank="1" showInputMessage="1" showErrorMessage="1" xr:uid="{A99F50B9-8F19-4800-886D-62A816A76DBF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499984740745262"/>
  </sheetPr>
  <dimension ref="A1:H201"/>
  <sheetViews>
    <sheetView workbookViewId="0">
      <selection sqref="A1:H1"/>
    </sheetView>
    <sheetView workbookViewId="1">
      <selection sqref="A1:H1"/>
    </sheetView>
  </sheetViews>
  <sheetFormatPr baseColWidth="10" defaultColWidth="11.1640625" defaultRowHeight="16" x14ac:dyDescent="0.2"/>
  <cols>
    <col min="1" max="1" width="4.33203125" style="153" customWidth="1"/>
    <col min="2" max="2" width="29.1640625" customWidth="1"/>
    <col min="4" max="4" width="21" bestFit="1" customWidth="1"/>
    <col min="5" max="5" width="12.33203125" customWidth="1"/>
    <col min="6" max="6" width="13.1640625" customWidth="1"/>
    <col min="7" max="7" width="19.6640625" bestFit="1" customWidth="1"/>
    <col min="8" max="8" width="36.6640625" bestFit="1" customWidth="1"/>
  </cols>
  <sheetData>
    <row r="1" spans="1:8" ht="21" x14ac:dyDescent="0.2">
      <c r="A1" s="1160" t="s">
        <v>27</v>
      </c>
      <c r="B1" s="1160"/>
      <c r="C1" s="1160"/>
      <c r="D1" s="1160"/>
      <c r="E1" s="1160"/>
      <c r="F1" s="1160"/>
      <c r="G1" s="1160"/>
      <c r="H1" s="1160"/>
    </row>
    <row r="2" spans="1:8" ht="22" thickBot="1" x14ac:dyDescent="0.25">
      <c r="A2" s="161"/>
      <c r="B2" s="161"/>
      <c r="C2" s="161"/>
      <c r="D2" s="161"/>
      <c r="E2" s="161"/>
      <c r="F2" s="161"/>
      <c r="G2" s="161"/>
    </row>
    <row r="3" spans="1:8" x14ac:dyDescent="0.2">
      <c r="B3" s="67" t="s">
        <v>28</v>
      </c>
      <c r="C3" s="4">
        <f>15*(Overview!AC32*2)</f>
        <v>456</v>
      </c>
      <c r="D3" s="68"/>
      <c r="E3" s="158"/>
      <c r="F3" s="11"/>
    </row>
    <row r="4" spans="1:8" ht="17" thickBot="1" x14ac:dyDescent="0.25">
      <c r="B4" s="69" t="s">
        <v>29</v>
      </c>
      <c r="C4" s="6">
        <f>D7+E7</f>
        <v>12</v>
      </c>
    </row>
    <row r="5" spans="1:8" ht="18" thickTop="1" thickBot="1" x14ac:dyDescent="0.25">
      <c r="B5" s="2" t="s">
        <v>30</v>
      </c>
      <c r="C5" s="5">
        <f>C3-C4</f>
        <v>444</v>
      </c>
    </row>
    <row r="7" spans="1:8" x14ac:dyDescent="0.2">
      <c r="C7" s="70" t="s">
        <v>31</v>
      </c>
      <c r="D7" s="131">
        <f>SUM(E12:E201)</f>
        <v>9</v>
      </c>
      <c r="E7" s="131">
        <f>SUM(F12:F201)</f>
        <v>3</v>
      </c>
    </row>
    <row r="8" spans="1:8" x14ac:dyDescent="0.2">
      <c r="C8" s="70" t="s">
        <v>32</v>
      </c>
      <c r="D8" s="159">
        <f>Anthropology!D37+Anthropology!E37+Anthropology!D44+Anthropology!E44+Art!D37+Art!E37+Art!D54+Art!E54+Biology!D37+Biology!E37+Biology!D44+Biology!E44+Geology!D37+Geology!E37+Geology!D44+Geology!E44+Chemistry!D37+Chemistry!E37+Chemistry!D58+Chemistry!E58+'Chicano-A Studies'!D37+'Chicano-A Studies'!E37+'Chicano-A Studies'!D44+'Chicano-A Studies'!E44+Communication!D36+Communication!E36+Communication!D45+Communication!E45+'Comp Sci-Mechatronics Eng'!D36+'Comp Sci-Mechatronics Eng'!E36+'Comp Sci-Mechatronics Eng'!D43+'Comp Sci-Mechatronics Eng'!E43+Mechatronics!D37+Mechatronics!E37+Mechatronics!D44+Mechatronics!E44+English!D36+English!E36+English!D43+English!E43+ESRM!D37+ESRM!E37+ESRM!D44+ESRM!E44+'Global Languages'!D37+'Global Languages'!E37+'Global Languages'!D44+'Global Languages'!E44+Spanish!D37+Spanish!E37+Spanish!D44+Spanish!E44+Hist!D37+Hist!E37+Hist!D44+Hist!E44+'Black Studies'!D37+'Black Studies'!E37+'Black Studies'!D44+'Black Studies'!E44+'Health Sciences'!D37+'Health Sciences'!E37+'Health Sciences'!D44+'Health Sciences'!E44+Math!D37+Math!E37+Math!D44+Math!E44+Philosophy!D37+Philosophy!E37+Philosophy!D44+Philosophy!E44+Nursing!D36+Nursing!E36+Nursing!D43+Nursing!E43+'Performing Arts'!D37+'Performing Arts'!E37+'Performing Arts'!D44+'Performing Arts'!E44+'Theater Arts'!D37+'Theater Arts'!E37+'Theater Arts'!D44+'Theater Arts'!E44+Dance!D37+Dance!E37+Dance!D44+Dance!E44+Music!D37+Music!E37+Music!D44+Music!E44+Physics!D37+Physics!E37+Physics!D46+Physics!E46+'Physical Sciences'!D37+'Physical Sciences'!E37+'Physical Sciences'!D44+'Physical Sciences'!E44+'Political Sci-Glob Studies-MPA'!D37+'Political Sci-Glob Studies-MPA'!E37+'Political Sci-Glob Studies-MPA'!D44+'Political Sci-Glob Studies-MPA'!E44+'Global Studies'!D37+'Global Studies'!E37+'Global Studies'!D44+'Global Studies'!E44+Psychology!D37+Psychology!E37+Psychology!D44+Psychology!E44+Sociology!D37+Sociology!E37+Sociology!D44+Sociology!E44</f>
        <v>330.2</v>
      </c>
      <c r="E8" s="159">
        <f>Anthropology!G37+Anthropology!H37+Anthropology!G44+Anthropology!H44+Art!G37+Art!H37+Art!G54+Art!H54+Biology!G37+Biology!H37+Biology!G44+Biology!H44+Geology!G37+Geology!H37+Geology!G44+Geology!H44+Chemistry!G37+Chemistry!H37+Chemistry!G58+Chemistry!H58+'Chicano-A Studies'!G37+'Chicano-A Studies'!H37+'Chicano-A Studies'!G44+'Chicano-A Studies'!H44+Communication!G36+Communication!H36+Communication!G45+Communication!H45+'Comp Sci-Mechatronics Eng'!G36+'Comp Sci-Mechatronics Eng'!H36+'Comp Sci-Mechatronics Eng'!G43+'Comp Sci-Mechatronics Eng'!H43+Mechatronics!G37+Mechatronics!H37+Mechatronics!G44+Mechatronics!H44+English!G36+English!H36+English!G43+English!H43+ESRM!G37+ESRM!H37+ESRM!G44+ESRM!H44+'Global Languages'!G37+'Global Languages'!H37+'Global Languages'!G44+'Global Languages'!H44+Spanish!G37+Spanish!H37+Spanish!G44+Spanish!H44+Hist!G37+Hist!H37+Hist!G44+Hist!H44+'Black Studies'!G37+'Black Studies'!H37+'Black Studies'!G44+'Black Studies'!H44+'Health Sciences'!G37+'Health Sciences'!H37+'Health Sciences'!G44+'Health Sciences'!H44+Math!G37+Math!H37+Math!G44+Math!H44+Philosophy!G37+Philosophy!H37+Philosophy!G44+Philosophy!H44+Nursing!G36+Nursing!H36+Nursing!G43+Nursing!H43+'Performing Arts'!G37+'Performing Arts'!H37+'Performing Arts'!G44+'Performing Arts'!H44+'Theater Arts'!G37+'Theater Arts'!H37+'Theater Arts'!G44+'Theater Arts'!H44+Dance!G37+Dance!H37+Dance!G44+Dance!H44+Music!G37+Music!H37+Music!G44+Music!H44+Physics!G37+Physics!H37+Physics!G46+Physics!H46+'Physical Sciences'!G37+'Physical Sciences'!H37+'Physical Sciences'!G44+'Physical Sciences'!H44+'Political Sci-Glob Studies-MPA'!G37+'Political Sci-Glob Studies-MPA'!H37+'Political Sci-Glob Studies-MPA'!G44+'Political Sci-Glob Studies-MPA'!H44+'Global Studies'!G37+'Global Studies'!H37+'Global Studies'!G44+'Global Studies'!H44+Psychology!G37+Psychology!H37+Psychology!G44+Psychology!H44+Sociology!G37+Sociology!H37+Sociology!G44+Sociology!H44</f>
        <v>207.8</v>
      </c>
    </row>
    <row r="9" spans="1:8" x14ac:dyDescent="0.2">
      <c r="A9" s="162"/>
      <c r="B9" s="167"/>
      <c r="C9" s="168" t="s">
        <v>33</v>
      </c>
      <c r="D9" s="160">
        <f>D7-D8</f>
        <v>-321.2</v>
      </c>
      <c r="E9" s="160">
        <f>E7-E8</f>
        <v>-204.8</v>
      </c>
    </row>
    <row r="10" spans="1:8" ht="17" thickBot="1" x14ac:dyDescent="0.25"/>
    <row r="11" spans="1:8" ht="45.5" customHeight="1" thickBot="1" x14ac:dyDescent="0.25">
      <c r="A11" s="163" t="s">
        <v>34</v>
      </c>
      <c r="B11" s="164" t="s">
        <v>35</v>
      </c>
      <c r="C11" s="164" t="s">
        <v>36</v>
      </c>
      <c r="D11" s="165" t="s">
        <v>37</v>
      </c>
      <c r="E11" s="165" t="s">
        <v>38</v>
      </c>
      <c r="F11" s="165" t="s">
        <v>39</v>
      </c>
      <c r="G11" s="165" t="s">
        <v>40</v>
      </c>
      <c r="H11" s="166" t="s">
        <v>41</v>
      </c>
    </row>
    <row r="12" spans="1:8" x14ac:dyDescent="0.2">
      <c r="A12" s="153">
        <v>1</v>
      </c>
      <c r="B12" t="s">
        <v>42</v>
      </c>
      <c r="C12" s="153" t="str">
        <f>IFERROR(VLOOKUP(B12,'Data Elements'!$A:$H,4,0),"")</f>
        <v>00002479</v>
      </c>
      <c r="D12" s="153" t="str">
        <f>IFERROR(VLOOKUP(B12,'Data Elements'!$A:$H,3,0),"")</f>
        <v>Computer Science</v>
      </c>
      <c r="E12" s="153">
        <v>9</v>
      </c>
      <c r="F12" s="153">
        <v>3</v>
      </c>
      <c r="G12" s="130" t="s">
        <v>43</v>
      </c>
      <c r="H12" s="153" t="s">
        <v>44</v>
      </c>
    </row>
    <row r="13" spans="1:8" x14ac:dyDescent="0.2">
      <c r="C13" s="153"/>
      <c r="D13" s="153"/>
      <c r="E13" s="153"/>
      <c r="F13" s="153"/>
      <c r="G13" s="130"/>
      <c r="H13" s="153"/>
    </row>
    <row r="14" spans="1:8" x14ac:dyDescent="0.2">
      <c r="A14" s="153">
        <v>3</v>
      </c>
      <c r="C14" s="153" t="str">
        <f>IFERROR(VLOOKUP(B14,'Data Elements'!A:D,4,0),"")</f>
        <v/>
      </c>
      <c r="D14" s="153" t="str">
        <f>IFERROR(VLOOKUP(B14,'Data Elements'!$A:$D,3,0),"")</f>
        <v/>
      </c>
      <c r="E14" s="153"/>
      <c r="F14" s="153"/>
      <c r="G14" s="130"/>
      <c r="H14" s="130"/>
    </row>
    <row r="15" spans="1:8" x14ac:dyDescent="0.2">
      <c r="A15" s="153">
        <v>4</v>
      </c>
      <c r="C15" s="153" t="str">
        <f>IFERROR(VLOOKUP(B15,'Data Elements'!A:D,4,0),"")</f>
        <v/>
      </c>
      <c r="D15" s="153" t="str">
        <f>IFERROR(VLOOKUP(B15,'Data Elements'!$A:$D,3,0),"")</f>
        <v/>
      </c>
      <c r="E15" s="153"/>
      <c r="F15" s="153"/>
      <c r="G15" s="130"/>
      <c r="H15" s="153"/>
    </row>
    <row r="16" spans="1:8" x14ac:dyDescent="0.2">
      <c r="A16" s="153">
        <v>5</v>
      </c>
      <c r="C16" s="153" t="str">
        <f>IFERROR(VLOOKUP(B16,'Data Elements'!A:D,4,0),"")</f>
        <v/>
      </c>
      <c r="D16" s="153" t="s">
        <v>45</v>
      </c>
      <c r="E16" s="153"/>
      <c r="F16" s="153"/>
      <c r="G16" s="130"/>
      <c r="H16" s="153"/>
    </row>
    <row r="17" spans="1:8" x14ac:dyDescent="0.2">
      <c r="A17" s="153">
        <v>6</v>
      </c>
      <c r="C17" s="153" t="str">
        <f>IFERROR(VLOOKUP(B17,'Data Elements'!A:D,4,0),"")</f>
        <v/>
      </c>
      <c r="D17" s="153" t="str">
        <f>IFERROR(VLOOKUP(B17,'Data Elements'!$A:$D,3,0),"")</f>
        <v/>
      </c>
      <c r="E17" s="153"/>
      <c r="F17" s="153"/>
      <c r="G17" s="130"/>
      <c r="H17" s="130"/>
    </row>
    <row r="18" spans="1:8" x14ac:dyDescent="0.2">
      <c r="A18" s="153">
        <v>7</v>
      </c>
      <c r="C18" s="153" t="str">
        <f>IFERROR(VLOOKUP(B18,'Data Elements'!A:D,4,0),"")</f>
        <v/>
      </c>
      <c r="D18" s="153" t="str">
        <f>IFERROR(VLOOKUP(B18,'Data Elements'!$A:$D,3,0),"")</f>
        <v/>
      </c>
      <c r="E18" s="153"/>
      <c r="F18" s="153"/>
      <c r="G18" s="130"/>
      <c r="H18" s="153"/>
    </row>
    <row r="19" spans="1:8" x14ac:dyDescent="0.2">
      <c r="A19" s="153">
        <v>8</v>
      </c>
      <c r="C19" s="153" t="str">
        <f>IFERROR(VLOOKUP(B19,'Data Elements'!A:D,4,0),"")</f>
        <v/>
      </c>
      <c r="D19" s="153" t="str">
        <f>IFERROR(VLOOKUP(B19,'Data Elements'!$A:$D,3,0),"")</f>
        <v/>
      </c>
      <c r="E19" s="153"/>
      <c r="F19" s="153"/>
      <c r="G19" s="130"/>
      <c r="H19" s="153"/>
    </row>
    <row r="20" spans="1:8" x14ac:dyDescent="0.2">
      <c r="A20" s="153">
        <v>9</v>
      </c>
      <c r="C20" s="153" t="str">
        <f>IFERROR(VLOOKUP(B20,'Data Elements'!A:D,4,0),"")</f>
        <v/>
      </c>
      <c r="D20" s="153" t="str">
        <f>IFERROR(VLOOKUP(B20,'Data Elements'!$A:$D,3,0),"")</f>
        <v/>
      </c>
      <c r="E20" s="153"/>
      <c r="F20" s="153"/>
      <c r="G20" s="130"/>
      <c r="H20" s="130"/>
    </row>
    <row r="21" spans="1:8" x14ac:dyDescent="0.2">
      <c r="A21" s="153">
        <v>10</v>
      </c>
      <c r="C21" s="153" t="str">
        <f>IFERROR(VLOOKUP(B21,'Data Elements'!A:D,4,0),"")</f>
        <v/>
      </c>
      <c r="D21" s="153" t="str">
        <f>IFERROR(VLOOKUP(B21,'Data Elements'!$A:$D,3,0),"")</f>
        <v/>
      </c>
      <c r="E21" s="153"/>
      <c r="F21" s="153"/>
      <c r="G21" s="130"/>
      <c r="H21" s="153"/>
    </row>
    <row r="22" spans="1:8" x14ac:dyDescent="0.2">
      <c r="A22" s="153">
        <v>11</v>
      </c>
      <c r="C22" s="153" t="str">
        <f>IFERROR(VLOOKUP(B22,'Data Elements'!A:D,4,0),"")</f>
        <v/>
      </c>
      <c r="D22" s="153" t="str">
        <f>IFERROR(VLOOKUP(B22,'Data Elements'!$A:$D,3,0),"")</f>
        <v/>
      </c>
      <c r="E22" s="153"/>
      <c r="F22" s="153"/>
      <c r="G22" s="130"/>
      <c r="H22" s="153"/>
    </row>
    <row r="23" spans="1:8" x14ac:dyDescent="0.2">
      <c r="A23" s="153">
        <v>12</v>
      </c>
      <c r="C23" s="153" t="str">
        <f>IFERROR(VLOOKUP(B23,'Data Elements'!A:D,4,0),"")</f>
        <v/>
      </c>
      <c r="D23" s="153" t="str">
        <f>IFERROR(VLOOKUP(B23,'Data Elements'!$A:$D,3,0),"")</f>
        <v/>
      </c>
      <c r="E23" s="153"/>
      <c r="F23" s="153"/>
      <c r="G23" s="130"/>
      <c r="H23" s="130"/>
    </row>
    <row r="24" spans="1:8" x14ac:dyDescent="0.2">
      <c r="A24" s="153">
        <v>13</v>
      </c>
      <c r="C24" s="153" t="str">
        <f>IFERROR(VLOOKUP(B24,'Data Elements'!A:D,4,0),"")</f>
        <v/>
      </c>
      <c r="D24" s="153" t="str">
        <f>IFERROR(VLOOKUP(B24,'Data Elements'!$A:$D,3,0),"")</f>
        <v/>
      </c>
      <c r="E24" s="153"/>
      <c r="F24" s="153"/>
      <c r="G24" s="130"/>
      <c r="H24" s="153"/>
    </row>
    <row r="25" spans="1:8" x14ac:dyDescent="0.2">
      <c r="A25" s="153">
        <v>14</v>
      </c>
      <c r="C25" s="153" t="str">
        <f>IFERROR(VLOOKUP(B25,'Data Elements'!A:D,4,0),"")</f>
        <v/>
      </c>
      <c r="D25" s="153" t="str">
        <f>IFERROR(VLOOKUP(B25,'Data Elements'!$A:$D,3,0),"")</f>
        <v/>
      </c>
      <c r="E25" s="153"/>
      <c r="F25" s="153"/>
      <c r="G25" s="130"/>
      <c r="H25" s="153"/>
    </row>
    <row r="26" spans="1:8" x14ac:dyDescent="0.2">
      <c r="A26" s="153">
        <v>15</v>
      </c>
      <c r="C26" s="153" t="str">
        <f>IFERROR(VLOOKUP(B26,'Data Elements'!A:D,4,0),"")</f>
        <v/>
      </c>
      <c r="D26" s="153" t="str">
        <f>IFERROR(VLOOKUP(B26,'Data Elements'!$A:$D,3,0),"")</f>
        <v/>
      </c>
      <c r="E26" s="153"/>
      <c r="F26" s="153"/>
      <c r="G26" s="130"/>
      <c r="H26" s="130"/>
    </row>
    <row r="27" spans="1:8" x14ac:dyDescent="0.2">
      <c r="A27" s="153">
        <v>16</v>
      </c>
      <c r="C27" s="153" t="str">
        <f>IFERROR(VLOOKUP(B27,'Data Elements'!A:D,4,0),"")</f>
        <v/>
      </c>
      <c r="D27" s="153" t="str">
        <f>IFERROR(VLOOKUP(B27,'Data Elements'!$A:$D,3,0),"")</f>
        <v/>
      </c>
      <c r="E27" s="153"/>
      <c r="F27" s="153"/>
      <c r="G27" s="130"/>
      <c r="H27" s="153"/>
    </row>
    <row r="28" spans="1:8" x14ac:dyDescent="0.2">
      <c r="A28" s="153">
        <v>17</v>
      </c>
      <c r="C28" s="153" t="str">
        <f>IFERROR(VLOOKUP(B28,'Data Elements'!A:D,4,0),"")</f>
        <v/>
      </c>
      <c r="D28" s="153" t="str">
        <f>IFERROR(VLOOKUP(B28,'Data Elements'!$A:$D,3,0),"")</f>
        <v/>
      </c>
      <c r="E28" s="153"/>
      <c r="F28" s="153"/>
      <c r="G28" s="130"/>
      <c r="H28" s="153"/>
    </row>
    <row r="29" spans="1:8" x14ac:dyDescent="0.2">
      <c r="A29" s="153">
        <v>18</v>
      </c>
      <c r="C29" s="153" t="str">
        <f>IFERROR(VLOOKUP(B29,'Data Elements'!A:D,4,0),"")</f>
        <v/>
      </c>
      <c r="D29" s="153" t="str">
        <f>IFERROR(VLOOKUP(B29,'Data Elements'!$A:$D,3,0),"")</f>
        <v/>
      </c>
      <c r="E29" s="153"/>
      <c r="F29" s="153"/>
      <c r="G29" s="130"/>
      <c r="H29" s="130"/>
    </row>
    <row r="30" spans="1:8" x14ac:dyDescent="0.2">
      <c r="A30" s="153">
        <v>19</v>
      </c>
      <c r="C30" s="153" t="str">
        <f>IFERROR(VLOOKUP(B30,'Data Elements'!A:D,4,0),"")</f>
        <v/>
      </c>
      <c r="D30" s="153" t="str">
        <f>IFERROR(VLOOKUP(B30,'Data Elements'!$A:$D,3,0),"")</f>
        <v/>
      </c>
      <c r="E30" s="153"/>
      <c r="F30" s="153"/>
      <c r="G30" s="130"/>
      <c r="H30" s="153"/>
    </row>
    <row r="31" spans="1:8" x14ac:dyDescent="0.2">
      <c r="A31" s="153">
        <v>20</v>
      </c>
      <c r="C31" s="153" t="str">
        <f>IFERROR(VLOOKUP(B31,'Data Elements'!A:D,4,0),"")</f>
        <v/>
      </c>
      <c r="D31" s="153" t="str">
        <f>IFERROR(VLOOKUP(B31,'Data Elements'!$A:$D,3,0),"")</f>
        <v/>
      </c>
      <c r="E31" s="153"/>
      <c r="F31" s="153"/>
      <c r="G31" s="130"/>
      <c r="H31" s="153"/>
    </row>
    <row r="32" spans="1:8" x14ac:dyDescent="0.2">
      <c r="A32" s="153">
        <v>21</v>
      </c>
      <c r="C32" s="153" t="str">
        <f>IFERROR(VLOOKUP(B32,'Data Elements'!A:D,4,0),"")</f>
        <v/>
      </c>
      <c r="D32" s="153" t="str">
        <f>IFERROR(VLOOKUP(B32,'Data Elements'!$A:$D,3,0),"")</f>
        <v/>
      </c>
      <c r="E32" s="153"/>
      <c r="F32" s="153"/>
      <c r="G32" s="130"/>
      <c r="H32" s="130"/>
    </row>
    <row r="33" spans="1:8" x14ac:dyDescent="0.2">
      <c r="A33" s="153">
        <v>22</v>
      </c>
      <c r="C33" s="153" t="str">
        <f>IFERROR(VLOOKUP(B33,'Data Elements'!A:D,4,0),"")</f>
        <v/>
      </c>
      <c r="D33" s="153" t="str">
        <f>IFERROR(VLOOKUP(B33,'Data Elements'!$A:$D,3,0),"")</f>
        <v/>
      </c>
      <c r="E33" s="153"/>
      <c r="F33" s="153"/>
      <c r="G33" s="130"/>
      <c r="H33" s="153"/>
    </row>
    <row r="34" spans="1:8" x14ac:dyDescent="0.2">
      <c r="A34" s="153">
        <v>23</v>
      </c>
      <c r="C34" s="153" t="str">
        <f>IFERROR(VLOOKUP(B34,'Data Elements'!A:D,4,0),"")</f>
        <v/>
      </c>
      <c r="D34" s="153" t="str">
        <f>IFERROR(VLOOKUP(B34,'Data Elements'!$A:$D,3,0),"")</f>
        <v/>
      </c>
      <c r="E34" s="153"/>
      <c r="F34" s="153"/>
      <c r="G34" s="130"/>
      <c r="H34" s="153"/>
    </row>
    <row r="35" spans="1:8" x14ac:dyDescent="0.2">
      <c r="A35" s="153">
        <v>24</v>
      </c>
      <c r="C35" s="153" t="str">
        <f>IFERROR(VLOOKUP(B35,'Data Elements'!A:D,4,0),"")</f>
        <v/>
      </c>
      <c r="D35" s="153" t="str">
        <f>IFERROR(VLOOKUP(B35,'Data Elements'!$A:$D,3,0),"")</f>
        <v/>
      </c>
      <c r="E35" s="153"/>
      <c r="F35" s="153"/>
      <c r="G35" s="130"/>
      <c r="H35" s="130"/>
    </row>
    <row r="36" spans="1:8" x14ac:dyDescent="0.2">
      <c r="A36" s="153">
        <v>25</v>
      </c>
      <c r="C36" s="153" t="str">
        <f>IFERROR(VLOOKUP(B36,'Data Elements'!A:D,4,0),"")</f>
        <v/>
      </c>
      <c r="D36" s="153" t="str">
        <f>IFERROR(VLOOKUP(B36,'Data Elements'!$A:$D,3,0),"")</f>
        <v/>
      </c>
      <c r="E36" s="153"/>
      <c r="F36" s="153"/>
      <c r="G36" s="130"/>
      <c r="H36" s="153"/>
    </row>
    <row r="37" spans="1:8" x14ac:dyDescent="0.2">
      <c r="A37" s="153">
        <v>26</v>
      </c>
      <c r="C37" s="153" t="str">
        <f>IFERROR(VLOOKUP(B37,'Data Elements'!A:D,4,0),"")</f>
        <v/>
      </c>
      <c r="D37" s="153" t="str">
        <f>IFERROR(VLOOKUP(B37,'Data Elements'!$A:$D,3,0),"")</f>
        <v/>
      </c>
      <c r="E37" s="153"/>
      <c r="F37" s="153"/>
      <c r="G37" s="130"/>
      <c r="H37" s="153"/>
    </row>
    <row r="38" spans="1:8" x14ac:dyDescent="0.2">
      <c r="A38" s="153">
        <v>27</v>
      </c>
      <c r="C38" s="153" t="str">
        <f>IFERROR(VLOOKUP(B38,'Data Elements'!A:D,4,0),"")</f>
        <v/>
      </c>
      <c r="D38" s="153" t="str">
        <f>IFERROR(VLOOKUP(B38,'Data Elements'!$A:$D,3,0),"")</f>
        <v/>
      </c>
      <c r="E38" s="153"/>
      <c r="F38" s="153"/>
      <c r="G38" s="130"/>
      <c r="H38" s="130"/>
    </row>
    <row r="39" spans="1:8" x14ac:dyDescent="0.2">
      <c r="A39" s="153">
        <v>28</v>
      </c>
      <c r="C39" s="153" t="str">
        <f>IFERROR(VLOOKUP(B39,'Data Elements'!A:D,4,0),"")</f>
        <v/>
      </c>
      <c r="D39" s="153" t="str">
        <f>IFERROR(VLOOKUP(B39,'Data Elements'!$A:$D,3,0),"")</f>
        <v/>
      </c>
      <c r="E39" s="153"/>
      <c r="F39" s="153"/>
      <c r="G39" s="130"/>
      <c r="H39" s="153"/>
    </row>
    <row r="40" spans="1:8" x14ac:dyDescent="0.2">
      <c r="A40" s="153">
        <v>29</v>
      </c>
      <c r="C40" s="153" t="str">
        <f>IFERROR(VLOOKUP(B40,'Data Elements'!A:D,4,0),"")</f>
        <v/>
      </c>
      <c r="D40" s="153" t="str">
        <f>IFERROR(VLOOKUP(B40,'Data Elements'!$A:$D,3,0),"")</f>
        <v/>
      </c>
      <c r="E40" s="153"/>
      <c r="F40" s="153"/>
      <c r="G40" s="130"/>
      <c r="H40" s="153"/>
    </row>
    <row r="41" spans="1:8" x14ac:dyDescent="0.2">
      <c r="A41" s="153">
        <v>30</v>
      </c>
      <c r="C41" s="153" t="str">
        <f>IFERROR(VLOOKUP(B41,'Data Elements'!A:D,4,0),"")</f>
        <v/>
      </c>
      <c r="D41" s="153" t="str">
        <f>IFERROR(VLOOKUP(B41,'Data Elements'!$A:$D,3,0),"")</f>
        <v/>
      </c>
      <c r="E41" s="153"/>
      <c r="F41" s="153"/>
      <c r="G41" s="130"/>
      <c r="H41" s="130"/>
    </row>
    <row r="42" spans="1:8" x14ac:dyDescent="0.2">
      <c r="A42" s="153">
        <v>31</v>
      </c>
      <c r="C42" s="153" t="str">
        <f>IFERROR(VLOOKUP(B42,'Data Elements'!A:D,4,0),"")</f>
        <v/>
      </c>
      <c r="D42" s="153" t="str">
        <f>IFERROR(VLOOKUP(B42,'Data Elements'!$A:$D,3,0),"")</f>
        <v/>
      </c>
      <c r="E42" s="153"/>
      <c r="F42" s="153"/>
      <c r="G42" s="130"/>
      <c r="H42" s="153"/>
    </row>
    <row r="43" spans="1:8" x14ac:dyDescent="0.2">
      <c r="A43" s="153">
        <v>32</v>
      </c>
      <c r="C43" s="153" t="str">
        <f>IFERROR(VLOOKUP(B43,'Data Elements'!A:D,4,0),"")</f>
        <v/>
      </c>
      <c r="D43" s="153" t="str">
        <f>IFERROR(VLOOKUP(B43,'Data Elements'!$A:$D,3,0),"")</f>
        <v/>
      </c>
      <c r="E43" s="153"/>
      <c r="F43" s="153"/>
      <c r="G43" s="130"/>
      <c r="H43" s="153"/>
    </row>
    <row r="44" spans="1:8" x14ac:dyDescent="0.2">
      <c r="A44" s="153">
        <v>33</v>
      </c>
      <c r="C44" s="153" t="str">
        <f>IFERROR(VLOOKUP(B44,'Data Elements'!A:D,4,0),"")</f>
        <v/>
      </c>
      <c r="D44" s="153" t="str">
        <f>IFERROR(VLOOKUP(B44,'Data Elements'!$A:$D,3,0),"")</f>
        <v/>
      </c>
      <c r="E44" s="153"/>
      <c r="F44" s="153"/>
      <c r="G44" s="130"/>
      <c r="H44" s="130"/>
    </row>
    <row r="45" spans="1:8" x14ac:dyDescent="0.2">
      <c r="A45" s="153">
        <v>34</v>
      </c>
      <c r="C45" s="153" t="str">
        <f>IFERROR(VLOOKUP(B45,'Data Elements'!A:D,4,0),"")</f>
        <v/>
      </c>
      <c r="D45" s="153" t="str">
        <f>IFERROR(VLOOKUP(B45,'Data Elements'!$A:$D,3,0),"")</f>
        <v/>
      </c>
      <c r="E45" s="153"/>
      <c r="F45" s="153"/>
      <c r="G45" s="130"/>
      <c r="H45" s="153"/>
    </row>
    <row r="46" spans="1:8" x14ac:dyDescent="0.2">
      <c r="A46" s="153">
        <v>35</v>
      </c>
      <c r="C46" s="153" t="str">
        <f>IFERROR(VLOOKUP(B46,'Data Elements'!A:D,4,0),"")</f>
        <v/>
      </c>
      <c r="D46" s="153" t="str">
        <f>IFERROR(VLOOKUP(B46,'Data Elements'!$A:$D,3,0),"")</f>
        <v/>
      </c>
      <c r="E46" s="153"/>
      <c r="F46" s="153"/>
      <c r="G46" s="130"/>
      <c r="H46" s="153"/>
    </row>
    <row r="47" spans="1:8" x14ac:dyDescent="0.2">
      <c r="A47" s="153">
        <v>36</v>
      </c>
      <c r="C47" s="153" t="str">
        <f>IFERROR(VLOOKUP(B47,'Data Elements'!A:D,4,0),"")</f>
        <v/>
      </c>
      <c r="D47" s="153" t="str">
        <f>IFERROR(VLOOKUP(B47,'Data Elements'!$A:$D,3,0),"")</f>
        <v/>
      </c>
      <c r="E47" s="153"/>
      <c r="F47" s="153"/>
      <c r="G47" s="130"/>
      <c r="H47" s="130"/>
    </row>
    <row r="48" spans="1:8" x14ac:dyDescent="0.2">
      <c r="A48" s="153">
        <v>37</v>
      </c>
      <c r="C48" s="153" t="str">
        <f>IFERROR(VLOOKUP(B48,'Data Elements'!A:D,4,0),"")</f>
        <v/>
      </c>
      <c r="D48" s="153" t="str">
        <f>IFERROR(VLOOKUP(B48,'Data Elements'!$A:$D,3,0),"")</f>
        <v/>
      </c>
      <c r="E48" s="153"/>
      <c r="F48" s="153"/>
      <c r="G48" s="130"/>
      <c r="H48" s="153"/>
    </row>
    <row r="49" spans="1:8" x14ac:dyDescent="0.2">
      <c r="A49" s="153">
        <v>38</v>
      </c>
      <c r="C49" s="153" t="str">
        <f>IFERROR(VLOOKUP(B49,'Data Elements'!A:D,4,0),"")</f>
        <v/>
      </c>
      <c r="D49" s="153" t="str">
        <f>IFERROR(VLOOKUP(B49,'Data Elements'!$A:$D,3,0),"")</f>
        <v/>
      </c>
      <c r="E49" s="153"/>
      <c r="F49" s="153"/>
      <c r="G49" s="130"/>
      <c r="H49" s="153"/>
    </row>
    <row r="50" spans="1:8" x14ac:dyDescent="0.2">
      <c r="A50" s="153">
        <v>39</v>
      </c>
      <c r="C50" s="153" t="str">
        <f>IFERROR(VLOOKUP(B50,'Data Elements'!A:D,4,0),"")</f>
        <v/>
      </c>
      <c r="D50" s="153" t="str">
        <f>IFERROR(VLOOKUP(B50,'Data Elements'!$A:$D,3,0),"")</f>
        <v/>
      </c>
      <c r="E50" s="153"/>
      <c r="F50" s="153"/>
      <c r="G50" s="130"/>
      <c r="H50" s="130"/>
    </row>
    <row r="51" spans="1:8" x14ac:dyDescent="0.2">
      <c r="A51" s="153">
        <v>40</v>
      </c>
      <c r="C51" s="153" t="str">
        <f>IFERROR(VLOOKUP(B51,'Data Elements'!A:D,4,0),"")</f>
        <v/>
      </c>
      <c r="D51" s="153" t="str">
        <f>IFERROR(VLOOKUP(B51,'Data Elements'!$A:$D,3,0),"")</f>
        <v/>
      </c>
      <c r="E51" s="153"/>
      <c r="F51" s="153"/>
      <c r="G51" s="130"/>
      <c r="H51" s="153"/>
    </row>
    <row r="52" spans="1:8" x14ac:dyDescent="0.2">
      <c r="A52" s="153">
        <v>41</v>
      </c>
      <c r="C52" s="153" t="str">
        <f>IFERROR(VLOOKUP(B52,'Data Elements'!A:D,4,0),"")</f>
        <v/>
      </c>
      <c r="D52" s="153" t="str">
        <f>IFERROR(VLOOKUP(B52,'Data Elements'!$A:$D,3,0),"")</f>
        <v/>
      </c>
      <c r="E52" s="153"/>
      <c r="F52" s="153"/>
      <c r="G52" s="130"/>
      <c r="H52" s="153"/>
    </row>
    <row r="53" spans="1:8" x14ac:dyDescent="0.2">
      <c r="A53" s="153">
        <v>42</v>
      </c>
      <c r="C53" s="153" t="str">
        <f>IFERROR(VLOOKUP(B53,'Data Elements'!A:D,4,0),"")</f>
        <v/>
      </c>
      <c r="D53" s="153" t="str">
        <f>IFERROR(VLOOKUP(B53,'Data Elements'!$A:$D,3,0),"")</f>
        <v/>
      </c>
      <c r="E53" s="153"/>
      <c r="F53" s="153"/>
      <c r="G53" s="130"/>
      <c r="H53" s="130"/>
    </row>
    <row r="54" spans="1:8" x14ac:dyDescent="0.2">
      <c r="A54" s="153">
        <v>43</v>
      </c>
      <c r="C54" s="153" t="str">
        <f>IFERROR(VLOOKUP(B54,'Data Elements'!A:D,4,0),"")</f>
        <v/>
      </c>
      <c r="D54" s="153" t="str">
        <f>IFERROR(VLOOKUP(B54,'Data Elements'!$A:$D,3,0),"")</f>
        <v/>
      </c>
      <c r="E54" s="153"/>
      <c r="F54" s="153"/>
      <c r="G54" s="130"/>
      <c r="H54" s="153"/>
    </row>
    <row r="55" spans="1:8" x14ac:dyDescent="0.2">
      <c r="A55" s="153">
        <v>44</v>
      </c>
      <c r="C55" s="153" t="str">
        <f>IFERROR(VLOOKUP(B55,'Data Elements'!A:D,4,0),"")</f>
        <v/>
      </c>
      <c r="D55" s="153" t="str">
        <f>IFERROR(VLOOKUP(B55,'Data Elements'!$A:$D,3,0),"")</f>
        <v/>
      </c>
      <c r="E55" s="153"/>
      <c r="F55" s="153"/>
      <c r="G55" s="130"/>
      <c r="H55" s="153"/>
    </row>
    <row r="56" spans="1:8" x14ac:dyDescent="0.2">
      <c r="A56" s="153">
        <v>45</v>
      </c>
      <c r="C56" s="153" t="str">
        <f>IFERROR(VLOOKUP(B56,'Data Elements'!A:D,4,0),"")</f>
        <v/>
      </c>
      <c r="D56" s="153" t="str">
        <f>IFERROR(VLOOKUP(B56,'Data Elements'!$A:$D,3,0),"")</f>
        <v/>
      </c>
      <c r="E56" s="153"/>
      <c r="F56" s="153"/>
      <c r="G56" s="130"/>
      <c r="H56" s="130"/>
    </row>
    <row r="57" spans="1:8" x14ac:dyDescent="0.2">
      <c r="A57" s="153">
        <v>46</v>
      </c>
      <c r="C57" s="153"/>
      <c r="D57" s="153" t="str">
        <f>IFERROR(VLOOKUP(B57,'Data Elements'!$A:$D,3,0),"")</f>
        <v/>
      </c>
      <c r="E57" s="153"/>
      <c r="F57" s="153"/>
      <c r="G57" s="130"/>
      <c r="H57" s="153"/>
    </row>
    <row r="58" spans="1:8" x14ac:dyDescent="0.2">
      <c r="A58" s="153">
        <v>47</v>
      </c>
      <c r="C58" s="153"/>
      <c r="D58" s="153" t="str">
        <f>IFERROR(VLOOKUP(B58,'Data Elements'!$A:$D,3,0),"")</f>
        <v/>
      </c>
      <c r="E58" s="153"/>
      <c r="F58" s="153"/>
      <c r="G58" s="130"/>
      <c r="H58" s="153"/>
    </row>
    <row r="59" spans="1:8" x14ac:dyDescent="0.2">
      <c r="A59" s="153">
        <v>48</v>
      </c>
      <c r="C59" s="153"/>
      <c r="D59" s="153" t="str">
        <f>IFERROR(VLOOKUP(B59,'Data Elements'!$A:$D,3,0),"")</f>
        <v/>
      </c>
      <c r="E59" s="153"/>
      <c r="F59" s="153"/>
      <c r="G59" s="130"/>
      <c r="H59" s="130"/>
    </row>
    <row r="60" spans="1:8" x14ac:dyDescent="0.2">
      <c r="A60" s="153">
        <v>49</v>
      </c>
      <c r="C60" s="153"/>
      <c r="D60" s="153" t="str">
        <f>IFERROR(VLOOKUP(B60,'Data Elements'!$A:$D,3,0),"")</f>
        <v/>
      </c>
      <c r="E60" s="153"/>
      <c r="F60" s="153"/>
      <c r="G60" s="130"/>
      <c r="H60" s="153"/>
    </row>
    <row r="61" spans="1:8" x14ac:dyDescent="0.2">
      <c r="A61" s="153">
        <v>50</v>
      </c>
      <c r="C61" s="153"/>
      <c r="D61" s="153" t="str">
        <f>IFERROR(VLOOKUP(B61,'Data Elements'!$A:$D,3,0),"")</f>
        <v/>
      </c>
      <c r="E61" s="153"/>
      <c r="F61" s="153"/>
      <c r="G61" s="130"/>
      <c r="H61" s="153"/>
    </row>
    <row r="62" spans="1:8" x14ac:dyDescent="0.2">
      <c r="A62" s="153">
        <v>51</v>
      </c>
      <c r="C62" s="153"/>
      <c r="D62" s="153" t="str">
        <f>IFERROR(VLOOKUP(B62,'Data Elements'!$A:$D,3,0),"")</f>
        <v/>
      </c>
      <c r="E62" s="153"/>
      <c r="F62" s="153"/>
      <c r="G62" s="130"/>
      <c r="H62" s="130"/>
    </row>
    <row r="63" spans="1:8" x14ac:dyDescent="0.2">
      <c r="A63" s="153">
        <v>52</v>
      </c>
      <c r="C63" s="153"/>
      <c r="D63" s="153" t="str">
        <f>IFERROR(VLOOKUP(B63,'Data Elements'!$A:$D,3,0),"")</f>
        <v/>
      </c>
      <c r="E63" s="153"/>
      <c r="F63" s="153"/>
      <c r="G63" s="130"/>
      <c r="H63" s="153"/>
    </row>
    <row r="64" spans="1:8" x14ac:dyDescent="0.2">
      <c r="A64" s="153">
        <v>53</v>
      </c>
      <c r="C64" s="153"/>
      <c r="D64" s="153" t="str">
        <f>IFERROR(VLOOKUP(B64,'Data Elements'!$A:$D,3,0),"")</f>
        <v/>
      </c>
      <c r="E64" s="153"/>
      <c r="F64" s="153"/>
      <c r="G64" s="130"/>
      <c r="H64" s="153"/>
    </row>
    <row r="65" spans="1:8" x14ac:dyDescent="0.2">
      <c r="A65" s="153">
        <v>54</v>
      </c>
      <c r="C65" s="153"/>
      <c r="D65" s="153" t="str">
        <f>IFERROR(VLOOKUP(B65,'Data Elements'!$A:$D,3,0),"")</f>
        <v/>
      </c>
      <c r="E65" s="153"/>
      <c r="F65" s="153"/>
      <c r="G65" s="130"/>
      <c r="H65" s="130"/>
    </row>
    <row r="66" spans="1:8" x14ac:dyDescent="0.2">
      <c r="A66" s="153">
        <v>55</v>
      </c>
      <c r="C66" s="153"/>
      <c r="D66" s="153" t="str">
        <f>IFERROR(VLOOKUP(B66,'Data Elements'!$A:$D,3,0),"")</f>
        <v/>
      </c>
      <c r="E66" s="153"/>
      <c r="F66" s="153"/>
      <c r="G66" s="130"/>
      <c r="H66" s="153"/>
    </row>
    <row r="67" spans="1:8" x14ac:dyDescent="0.2">
      <c r="A67" s="153">
        <v>56</v>
      </c>
      <c r="C67" s="153"/>
      <c r="D67" s="153" t="str">
        <f>IFERROR(VLOOKUP(B67,'Data Elements'!$A:$D,3,0),"")</f>
        <v/>
      </c>
      <c r="E67" s="153"/>
      <c r="F67" s="153"/>
      <c r="G67" s="130"/>
      <c r="H67" s="153"/>
    </row>
    <row r="68" spans="1:8" x14ac:dyDescent="0.2">
      <c r="A68" s="153">
        <v>57</v>
      </c>
      <c r="C68" s="153"/>
      <c r="D68" s="153" t="str">
        <f>IFERROR(VLOOKUP(B68,'Data Elements'!$A:$D,3,0),"")</f>
        <v/>
      </c>
      <c r="E68" s="153"/>
      <c r="F68" s="153"/>
      <c r="G68" s="130"/>
      <c r="H68" s="130"/>
    </row>
    <row r="69" spans="1:8" x14ac:dyDescent="0.2">
      <c r="A69" s="153">
        <v>58</v>
      </c>
      <c r="C69" s="153"/>
      <c r="D69" s="153" t="str">
        <f>IFERROR(VLOOKUP(B69,'Data Elements'!$A:$D,3,0),"")</f>
        <v/>
      </c>
      <c r="E69" s="153"/>
      <c r="F69" s="153"/>
      <c r="G69" s="130"/>
      <c r="H69" s="153"/>
    </row>
    <row r="70" spans="1:8" x14ac:dyDescent="0.2">
      <c r="A70" s="153">
        <v>59</v>
      </c>
      <c r="C70" s="153"/>
      <c r="D70" s="153" t="str">
        <f>IFERROR(VLOOKUP(B70,'Data Elements'!$A:$D,3,0),"")</f>
        <v/>
      </c>
      <c r="E70" s="153"/>
      <c r="F70" s="153"/>
      <c r="G70" s="130"/>
      <c r="H70" s="153"/>
    </row>
    <row r="71" spans="1:8" x14ac:dyDescent="0.2">
      <c r="A71" s="153">
        <v>60</v>
      </c>
      <c r="C71" s="153"/>
      <c r="D71" s="153" t="str">
        <f>IFERROR(VLOOKUP(B71,'Data Elements'!$A:$D,3,0),"")</f>
        <v/>
      </c>
      <c r="E71" s="153"/>
      <c r="F71" s="153"/>
      <c r="G71" s="130"/>
      <c r="H71" s="130"/>
    </row>
    <row r="72" spans="1:8" x14ac:dyDescent="0.2">
      <c r="A72" s="153">
        <v>61</v>
      </c>
      <c r="C72" s="153"/>
      <c r="D72" s="153" t="str">
        <f>IFERROR(VLOOKUP(B72,'Data Elements'!$A:$D,3,0),"")</f>
        <v/>
      </c>
      <c r="E72" s="153"/>
      <c r="F72" s="153"/>
      <c r="G72" s="130"/>
      <c r="H72" s="153"/>
    </row>
    <row r="73" spans="1:8" x14ac:dyDescent="0.2">
      <c r="A73" s="153">
        <v>62</v>
      </c>
      <c r="C73" s="153"/>
      <c r="D73" s="153" t="str">
        <f>IFERROR(VLOOKUP(B73,'Data Elements'!$A:$D,3,0),"")</f>
        <v/>
      </c>
      <c r="E73" s="153"/>
      <c r="F73" s="153"/>
      <c r="G73" s="130"/>
      <c r="H73" s="153"/>
    </row>
    <row r="74" spans="1:8" x14ac:dyDescent="0.2">
      <c r="A74" s="153">
        <v>63</v>
      </c>
      <c r="C74" s="153"/>
      <c r="D74" s="153" t="str">
        <f>IFERROR(VLOOKUP(B74,'Data Elements'!$A:$D,3,0),"")</f>
        <v/>
      </c>
      <c r="E74" s="153"/>
      <c r="F74" s="153"/>
      <c r="G74" s="130"/>
      <c r="H74" s="130"/>
    </row>
    <row r="75" spans="1:8" x14ac:dyDescent="0.2">
      <c r="A75" s="153">
        <v>64</v>
      </c>
      <c r="C75" s="153"/>
      <c r="D75" s="153" t="str">
        <f>IFERROR(VLOOKUP(B75,'Data Elements'!$A:$D,3,0),"")</f>
        <v/>
      </c>
      <c r="E75" s="153"/>
      <c r="F75" s="153"/>
      <c r="G75" s="130"/>
      <c r="H75" s="153"/>
    </row>
    <row r="76" spans="1:8" x14ac:dyDescent="0.2">
      <c r="A76" s="153">
        <v>65</v>
      </c>
      <c r="C76" s="153"/>
      <c r="D76" s="153" t="str">
        <f>IFERROR(VLOOKUP(B76,'Data Elements'!$A:$D,3,0),"")</f>
        <v/>
      </c>
      <c r="E76" s="153"/>
      <c r="F76" s="153"/>
      <c r="G76" s="130"/>
      <c r="H76" s="153"/>
    </row>
    <row r="77" spans="1:8" x14ac:dyDescent="0.2">
      <c r="A77" s="153">
        <v>66</v>
      </c>
      <c r="C77" s="153"/>
      <c r="D77" s="153" t="str">
        <f>IFERROR(VLOOKUP(B77,'Data Elements'!$A:$D,3,0),"")</f>
        <v/>
      </c>
      <c r="E77" s="153"/>
      <c r="F77" s="153"/>
      <c r="G77" s="130"/>
      <c r="H77" s="130"/>
    </row>
    <row r="78" spans="1:8" x14ac:dyDescent="0.2">
      <c r="A78" s="153">
        <v>67</v>
      </c>
      <c r="C78" s="153"/>
      <c r="D78" s="153" t="str">
        <f>IFERROR(VLOOKUP(B78,'Data Elements'!$A:$D,3,0),"")</f>
        <v/>
      </c>
      <c r="E78" s="153"/>
      <c r="F78" s="153"/>
      <c r="G78" s="130"/>
      <c r="H78" s="153"/>
    </row>
    <row r="79" spans="1:8" x14ac:dyDescent="0.2">
      <c r="A79" s="153">
        <v>68</v>
      </c>
      <c r="C79" s="153"/>
      <c r="D79" s="153" t="str">
        <f>IFERROR(VLOOKUP(B79,'Data Elements'!$A:$D,3,0),"")</f>
        <v/>
      </c>
      <c r="E79" s="153"/>
      <c r="F79" s="153"/>
      <c r="G79" s="130"/>
      <c r="H79" s="153"/>
    </row>
    <row r="80" spans="1:8" x14ac:dyDescent="0.2">
      <c r="A80" s="153">
        <v>69</v>
      </c>
      <c r="C80" s="153"/>
      <c r="D80" s="153" t="str">
        <f>IFERROR(VLOOKUP(B80,'Data Elements'!$A:$D,3,0),"")</f>
        <v/>
      </c>
      <c r="E80" s="153"/>
      <c r="F80" s="153"/>
      <c r="G80" s="130"/>
      <c r="H80" s="130"/>
    </row>
    <row r="81" spans="1:8" x14ac:dyDescent="0.2">
      <c r="A81" s="153">
        <v>70</v>
      </c>
      <c r="C81" s="153"/>
      <c r="D81" s="153" t="str">
        <f>IFERROR(VLOOKUP(B81,'Data Elements'!$A:$D,3,0),"")</f>
        <v/>
      </c>
      <c r="E81" s="153"/>
      <c r="F81" s="153"/>
      <c r="G81" s="130"/>
      <c r="H81" s="153"/>
    </row>
    <row r="82" spans="1:8" x14ac:dyDescent="0.2">
      <c r="A82" s="153">
        <v>71</v>
      </c>
      <c r="C82" s="153"/>
      <c r="D82" s="153" t="str">
        <f>IFERROR(VLOOKUP(B82,'Data Elements'!$A:$D,3,0),"")</f>
        <v/>
      </c>
      <c r="E82" s="153"/>
      <c r="F82" s="153"/>
      <c r="G82" s="130"/>
      <c r="H82" s="153"/>
    </row>
    <row r="83" spans="1:8" x14ac:dyDescent="0.2">
      <c r="A83" s="153">
        <v>72</v>
      </c>
      <c r="C83" s="153"/>
      <c r="D83" s="153" t="str">
        <f>IFERROR(VLOOKUP(B83,'Data Elements'!$A:$D,3,0),"")</f>
        <v/>
      </c>
      <c r="E83" s="153"/>
      <c r="F83" s="153"/>
      <c r="G83" s="130"/>
      <c r="H83" s="130"/>
    </row>
    <row r="84" spans="1:8" x14ac:dyDescent="0.2">
      <c r="A84" s="153">
        <v>73</v>
      </c>
      <c r="C84" s="153"/>
      <c r="D84" s="153" t="str">
        <f>IFERROR(VLOOKUP(B84,'Data Elements'!$A:$D,3,0),"")</f>
        <v/>
      </c>
      <c r="E84" s="153"/>
      <c r="F84" s="153"/>
      <c r="G84" s="130"/>
      <c r="H84" s="153"/>
    </row>
    <row r="85" spans="1:8" x14ac:dyDescent="0.2">
      <c r="A85" s="153">
        <v>74</v>
      </c>
      <c r="C85" s="153"/>
      <c r="D85" s="153" t="str">
        <f>IFERROR(VLOOKUP(B85,'Data Elements'!$A:$D,3,0),"")</f>
        <v/>
      </c>
      <c r="E85" s="153"/>
      <c r="F85" s="153"/>
      <c r="G85" s="130"/>
      <c r="H85" s="153"/>
    </row>
    <row r="86" spans="1:8" x14ac:dyDescent="0.2">
      <c r="A86" s="153">
        <v>75</v>
      </c>
      <c r="C86" s="153"/>
      <c r="D86" s="153" t="str">
        <f>IFERROR(VLOOKUP(B86,'Data Elements'!$A:$D,3,0),"")</f>
        <v/>
      </c>
      <c r="E86" s="153"/>
      <c r="F86" s="153"/>
      <c r="G86" s="130"/>
      <c r="H86" s="130"/>
    </row>
    <row r="87" spans="1:8" x14ac:dyDescent="0.2">
      <c r="A87" s="153">
        <v>76</v>
      </c>
      <c r="C87" s="153"/>
      <c r="D87" s="153" t="str">
        <f>IFERROR(VLOOKUP(B87,'Data Elements'!$A:$D,3,0),"")</f>
        <v/>
      </c>
      <c r="E87" s="153"/>
      <c r="F87" s="153"/>
      <c r="G87" s="130"/>
      <c r="H87" s="153"/>
    </row>
    <row r="88" spans="1:8" x14ac:dyDescent="0.2">
      <c r="A88" s="153">
        <v>77</v>
      </c>
      <c r="C88" s="153"/>
      <c r="D88" s="153" t="str">
        <f>IFERROR(VLOOKUP(B88,'Data Elements'!$A:$D,3,0),"")</f>
        <v/>
      </c>
      <c r="E88" s="153"/>
      <c r="F88" s="153"/>
      <c r="G88" s="130"/>
      <c r="H88" s="153"/>
    </row>
    <row r="89" spans="1:8" x14ac:dyDescent="0.2">
      <c r="A89" s="153">
        <v>78</v>
      </c>
      <c r="C89" s="153"/>
      <c r="D89" s="153" t="str">
        <f>IFERROR(VLOOKUP(B89,'Data Elements'!$A:$D,3,0),"")</f>
        <v/>
      </c>
      <c r="E89" s="153"/>
      <c r="F89" s="153"/>
      <c r="G89" s="130"/>
      <c r="H89" s="130"/>
    </row>
    <row r="90" spans="1:8" x14ac:dyDescent="0.2">
      <c r="A90" s="153">
        <v>79</v>
      </c>
      <c r="C90" s="153"/>
      <c r="D90" s="153" t="str">
        <f>IFERROR(VLOOKUP(B90,'Data Elements'!$A:$D,3,0),"")</f>
        <v/>
      </c>
      <c r="E90" s="153"/>
      <c r="F90" s="153"/>
      <c r="G90" s="130"/>
      <c r="H90" s="153"/>
    </row>
    <row r="91" spans="1:8" x14ac:dyDescent="0.2">
      <c r="A91" s="153">
        <v>80</v>
      </c>
      <c r="C91" s="153"/>
      <c r="D91" s="153" t="str">
        <f>IFERROR(VLOOKUP(B91,'Data Elements'!$A:$D,3,0),"")</f>
        <v/>
      </c>
      <c r="E91" s="153"/>
      <c r="F91" s="153"/>
      <c r="G91" s="130"/>
      <c r="H91" s="153"/>
    </row>
    <row r="92" spans="1:8" x14ac:dyDescent="0.2">
      <c r="A92" s="153">
        <v>81</v>
      </c>
      <c r="C92" s="153"/>
      <c r="D92" s="153" t="str">
        <f>IFERROR(VLOOKUP(B92,'Data Elements'!$A:$D,3,0),"")</f>
        <v/>
      </c>
      <c r="E92" s="153"/>
      <c r="F92" s="153"/>
      <c r="G92" s="130"/>
      <c r="H92" s="130"/>
    </row>
    <row r="93" spans="1:8" x14ac:dyDescent="0.2">
      <c r="A93" s="153">
        <v>82</v>
      </c>
      <c r="C93" s="153"/>
      <c r="D93" s="153" t="str">
        <f>IFERROR(VLOOKUP(B93,'Data Elements'!$A:$D,3,0),"")</f>
        <v/>
      </c>
      <c r="E93" s="153"/>
      <c r="F93" s="153"/>
      <c r="G93" s="130"/>
      <c r="H93" s="153"/>
    </row>
    <row r="94" spans="1:8" x14ac:dyDescent="0.2">
      <c r="A94" s="153">
        <v>83</v>
      </c>
      <c r="C94" s="153"/>
      <c r="D94" s="153" t="str">
        <f>IFERROR(VLOOKUP(B94,'Data Elements'!$A:$D,3,0),"")</f>
        <v/>
      </c>
      <c r="E94" s="153"/>
      <c r="F94" s="153"/>
      <c r="G94" s="130"/>
      <c r="H94" s="153"/>
    </row>
    <row r="95" spans="1:8" x14ac:dyDescent="0.2">
      <c r="A95" s="153">
        <v>84</v>
      </c>
      <c r="C95" s="153"/>
      <c r="D95" s="153" t="str">
        <f>IFERROR(VLOOKUP(B95,'Data Elements'!$A:$D,3,0),"")</f>
        <v/>
      </c>
      <c r="E95" s="153"/>
      <c r="F95" s="153"/>
      <c r="G95" s="130"/>
      <c r="H95" s="130"/>
    </row>
    <row r="96" spans="1:8" x14ac:dyDescent="0.2">
      <c r="A96" s="153">
        <v>85</v>
      </c>
      <c r="C96" s="153"/>
      <c r="D96" s="153" t="str">
        <f>IFERROR(VLOOKUP(B96,'Data Elements'!$A:$D,3,0),"")</f>
        <v/>
      </c>
      <c r="E96" s="153"/>
      <c r="F96" s="153"/>
      <c r="G96" s="130"/>
      <c r="H96" s="153"/>
    </row>
    <row r="97" spans="1:8" x14ac:dyDescent="0.2">
      <c r="A97" s="153">
        <v>86</v>
      </c>
      <c r="C97" s="153"/>
      <c r="D97" s="153" t="str">
        <f>IFERROR(VLOOKUP(B97,'Data Elements'!$A:$D,3,0),"")</f>
        <v/>
      </c>
      <c r="E97" s="153"/>
      <c r="F97" s="153"/>
      <c r="G97" s="130"/>
      <c r="H97" s="153"/>
    </row>
    <row r="98" spans="1:8" x14ac:dyDescent="0.2">
      <c r="A98" s="153">
        <v>87</v>
      </c>
      <c r="C98" s="153"/>
      <c r="D98" s="153" t="str">
        <f>IFERROR(VLOOKUP(B98,'Data Elements'!$A:$D,3,0),"")</f>
        <v/>
      </c>
      <c r="E98" s="153"/>
      <c r="F98" s="153"/>
      <c r="G98" s="130"/>
      <c r="H98" s="130"/>
    </row>
    <row r="99" spans="1:8" x14ac:dyDescent="0.2">
      <c r="A99" s="153">
        <v>88</v>
      </c>
      <c r="C99" s="153"/>
      <c r="D99" s="153" t="str">
        <f>IFERROR(VLOOKUP(B99,'Data Elements'!$A:$D,3,0),"")</f>
        <v/>
      </c>
      <c r="E99" s="153"/>
      <c r="F99" s="153"/>
      <c r="G99" s="130"/>
      <c r="H99" s="153"/>
    </row>
    <row r="100" spans="1:8" x14ac:dyDescent="0.2">
      <c r="A100" s="153">
        <v>89</v>
      </c>
      <c r="C100" s="153"/>
      <c r="D100" s="153" t="str">
        <f>IFERROR(VLOOKUP(B100,'Data Elements'!$A:$D,3,0),"")</f>
        <v/>
      </c>
      <c r="E100" s="153"/>
      <c r="F100" s="153"/>
      <c r="G100" s="130"/>
      <c r="H100" s="153"/>
    </row>
    <row r="101" spans="1:8" x14ac:dyDescent="0.2">
      <c r="A101" s="153">
        <v>90</v>
      </c>
      <c r="C101" s="153"/>
      <c r="D101" s="153" t="str">
        <f>IFERROR(VLOOKUP(B101,'Data Elements'!$A:$D,3,0),"")</f>
        <v/>
      </c>
      <c r="E101" s="153"/>
      <c r="F101" s="153"/>
      <c r="G101" s="130"/>
      <c r="H101" s="130"/>
    </row>
    <row r="102" spans="1:8" x14ac:dyDescent="0.2">
      <c r="A102" s="153">
        <v>91</v>
      </c>
      <c r="C102" s="153"/>
      <c r="D102" s="153" t="str">
        <f>IFERROR(VLOOKUP(B102,'Data Elements'!$A:$D,3,0),"")</f>
        <v/>
      </c>
      <c r="E102" s="153"/>
      <c r="F102" s="153"/>
      <c r="G102" s="130"/>
      <c r="H102" s="153"/>
    </row>
    <row r="103" spans="1:8" x14ac:dyDescent="0.2">
      <c r="A103" s="153">
        <v>92</v>
      </c>
      <c r="C103" s="153"/>
      <c r="D103" s="153" t="str">
        <f>IFERROR(VLOOKUP(B103,'Data Elements'!$A:$D,3,0),"")</f>
        <v/>
      </c>
      <c r="E103" s="153"/>
      <c r="F103" s="153"/>
      <c r="G103" s="130"/>
      <c r="H103" s="153"/>
    </row>
    <row r="104" spans="1:8" x14ac:dyDescent="0.2">
      <c r="A104" s="153">
        <v>93</v>
      </c>
      <c r="C104" s="153"/>
      <c r="D104" s="153" t="str">
        <f>IFERROR(VLOOKUP(B104,'Data Elements'!$A:$D,3,0),"")</f>
        <v/>
      </c>
      <c r="E104" s="153"/>
      <c r="F104" s="153"/>
      <c r="G104" s="130"/>
      <c r="H104" s="130"/>
    </row>
    <row r="105" spans="1:8" x14ac:dyDescent="0.2">
      <c r="A105" s="153">
        <v>94</v>
      </c>
      <c r="C105" s="153"/>
      <c r="D105" s="153" t="str">
        <f>IFERROR(VLOOKUP(B105,'Data Elements'!$A:$D,3,0),"")</f>
        <v/>
      </c>
      <c r="E105" s="153"/>
      <c r="F105" s="153"/>
      <c r="G105" s="130"/>
      <c r="H105" s="153"/>
    </row>
    <row r="106" spans="1:8" x14ac:dyDescent="0.2">
      <c r="A106" s="153">
        <v>95</v>
      </c>
      <c r="C106" s="153"/>
      <c r="D106" s="153" t="str">
        <f>IFERROR(VLOOKUP(B106,'Data Elements'!$A:$D,3,0),"")</f>
        <v/>
      </c>
      <c r="E106" s="153"/>
      <c r="F106" s="153"/>
      <c r="G106" s="130"/>
      <c r="H106" s="153"/>
    </row>
    <row r="107" spans="1:8" x14ac:dyDescent="0.2">
      <c r="A107" s="153">
        <v>96</v>
      </c>
      <c r="C107" s="153"/>
      <c r="D107" s="153" t="str">
        <f>IFERROR(VLOOKUP(B107,'Data Elements'!$A:$D,3,0),"")</f>
        <v/>
      </c>
      <c r="E107" s="153"/>
      <c r="F107" s="153"/>
      <c r="G107" s="130"/>
      <c r="H107" s="130"/>
    </row>
    <row r="108" spans="1:8" x14ac:dyDescent="0.2">
      <c r="A108" s="153">
        <v>97</v>
      </c>
      <c r="C108" s="153"/>
      <c r="D108" s="153" t="str">
        <f>IFERROR(VLOOKUP(B108,'Data Elements'!$A:$D,3,0),"")</f>
        <v/>
      </c>
      <c r="E108" s="153"/>
      <c r="F108" s="153"/>
      <c r="G108" s="130"/>
      <c r="H108" s="153"/>
    </row>
    <row r="109" spans="1:8" x14ac:dyDescent="0.2">
      <c r="A109" s="153">
        <v>98</v>
      </c>
      <c r="C109" s="153"/>
      <c r="D109" s="153" t="str">
        <f>IFERROR(VLOOKUP(B109,'Data Elements'!$A:$D,3,0),"")</f>
        <v/>
      </c>
      <c r="E109" s="153"/>
      <c r="F109" s="153"/>
      <c r="G109" s="130"/>
      <c r="H109" s="153"/>
    </row>
    <row r="110" spans="1:8" x14ac:dyDescent="0.2">
      <c r="A110" s="153">
        <v>99</v>
      </c>
      <c r="C110" s="153"/>
      <c r="D110" s="153" t="str">
        <f>IFERROR(VLOOKUP(B110,'Data Elements'!$A:$D,3,0),"")</f>
        <v/>
      </c>
      <c r="E110" s="153"/>
      <c r="F110" s="153"/>
      <c r="G110" s="130"/>
      <c r="H110" s="130"/>
    </row>
    <row r="111" spans="1:8" x14ac:dyDescent="0.2">
      <c r="A111" s="153">
        <v>100</v>
      </c>
      <c r="C111" s="153"/>
      <c r="D111" s="153" t="str">
        <f>IFERROR(VLOOKUP(B111,'Data Elements'!$A:$D,3,0),"")</f>
        <v/>
      </c>
      <c r="E111" s="153"/>
      <c r="F111" s="153"/>
      <c r="G111" s="130"/>
      <c r="H111" s="153"/>
    </row>
    <row r="112" spans="1:8" x14ac:dyDescent="0.2">
      <c r="A112" s="153">
        <v>101</v>
      </c>
      <c r="C112" s="153"/>
      <c r="D112" s="153" t="str">
        <f>IFERROR(VLOOKUP(B112,'Data Elements'!$A:$D,3,0),"")</f>
        <v/>
      </c>
      <c r="E112" s="153"/>
      <c r="F112" s="153"/>
      <c r="G112" s="130"/>
      <c r="H112" s="153"/>
    </row>
    <row r="113" spans="1:8" x14ac:dyDescent="0.2">
      <c r="A113" s="153">
        <v>102</v>
      </c>
      <c r="C113" s="153"/>
      <c r="D113" s="153" t="str">
        <f>IFERROR(VLOOKUP(B113,'Data Elements'!$A:$D,3,0),"")</f>
        <v/>
      </c>
      <c r="E113" s="153"/>
      <c r="F113" s="153"/>
      <c r="G113" s="130"/>
      <c r="H113" s="130"/>
    </row>
    <row r="114" spans="1:8" x14ac:dyDescent="0.2">
      <c r="A114" s="153">
        <v>103</v>
      </c>
      <c r="C114" s="153"/>
      <c r="D114" s="153" t="str">
        <f>IFERROR(VLOOKUP(B114,'Data Elements'!$A:$D,3,0),"")</f>
        <v/>
      </c>
      <c r="E114" s="153"/>
      <c r="F114" s="153"/>
      <c r="G114" s="130"/>
      <c r="H114" s="153"/>
    </row>
    <row r="115" spans="1:8" x14ac:dyDescent="0.2">
      <c r="A115" s="153">
        <v>104</v>
      </c>
      <c r="C115" s="153"/>
      <c r="D115" s="153" t="str">
        <f>IFERROR(VLOOKUP(B115,'Data Elements'!$A:$D,3,0),"")</f>
        <v/>
      </c>
      <c r="E115" s="153"/>
      <c r="F115" s="153"/>
      <c r="G115" s="130"/>
      <c r="H115" s="153"/>
    </row>
    <row r="116" spans="1:8" x14ac:dyDescent="0.2">
      <c r="A116" s="153">
        <v>105</v>
      </c>
      <c r="C116" s="153"/>
      <c r="D116" s="153" t="str">
        <f>IFERROR(VLOOKUP(B116,'Data Elements'!$A:$D,3,0),"")</f>
        <v/>
      </c>
      <c r="E116" s="153"/>
      <c r="F116" s="153"/>
      <c r="G116" s="130"/>
      <c r="H116" s="130"/>
    </row>
    <row r="117" spans="1:8" x14ac:dyDescent="0.2">
      <c r="A117" s="153">
        <v>106</v>
      </c>
      <c r="C117" s="153"/>
      <c r="D117" s="153" t="str">
        <f>IFERROR(VLOOKUP(B117,'Data Elements'!$A:$D,3,0),"")</f>
        <v/>
      </c>
      <c r="E117" s="153"/>
      <c r="F117" s="153"/>
      <c r="G117" s="130"/>
      <c r="H117" s="153"/>
    </row>
    <row r="118" spans="1:8" x14ac:dyDescent="0.2">
      <c r="A118" s="153">
        <v>107</v>
      </c>
      <c r="C118" s="153"/>
      <c r="D118" s="153" t="str">
        <f>IFERROR(VLOOKUP(B118,'Data Elements'!$A:$D,3,0),"")</f>
        <v/>
      </c>
      <c r="E118" s="153"/>
      <c r="F118" s="153"/>
      <c r="G118" s="130"/>
      <c r="H118" s="153"/>
    </row>
    <row r="119" spans="1:8" x14ac:dyDescent="0.2">
      <c r="A119" s="153">
        <v>108</v>
      </c>
      <c r="C119" s="153"/>
      <c r="D119" s="153" t="str">
        <f>IFERROR(VLOOKUP(B119,'Data Elements'!$A:$D,3,0),"")</f>
        <v/>
      </c>
      <c r="E119" s="153"/>
      <c r="F119" s="153"/>
      <c r="G119" s="130"/>
      <c r="H119" s="130"/>
    </row>
    <row r="120" spans="1:8" x14ac:dyDescent="0.2">
      <c r="A120" s="153">
        <v>109</v>
      </c>
      <c r="C120" s="153"/>
      <c r="D120" s="153" t="str">
        <f>IFERROR(VLOOKUP(B120,'Data Elements'!$A:$D,3,0),"")</f>
        <v/>
      </c>
      <c r="E120" s="153"/>
      <c r="F120" s="153"/>
      <c r="G120" s="130"/>
      <c r="H120" s="153"/>
    </row>
    <row r="121" spans="1:8" x14ac:dyDescent="0.2">
      <c r="A121" s="153">
        <v>110</v>
      </c>
      <c r="C121" s="153"/>
      <c r="D121" s="153" t="str">
        <f>IFERROR(VLOOKUP(B121,'Data Elements'!$A:$D,3,0),"")</f>
        <v/>
      </c>
      <c r="E121" s="153"/>
      <c r="F121" s="153"/>
      <c r="G121" s="130"/>
      <c r="H121" s="153"/>
    </row>
    <row r="122" spans="1:8" x14ac:dyDescent="0.2">
      <c r="A122" s="153">
        <v>111</v>
      </c>
      <c r="C122" s="153"/>
      <c r="D122" s="153" t="str">
        <f>IFERROR(VLOOKUP(B122,'Data Elements'!$A:$D,3,0),"")</f>
        <v/>
      </c>
      <c r="E122" s="153"/>
      <c r="F122" s="153"/>
      <c r="G122" s="130"/>
      <c r="H122" s="130"/>
    </row>
    <row r="123" spans="1:8" x14ac:dyDescent="0.2">
      <c r="A123" s="153">
        <v>112</v>
      </c>
      <c r="C123" s="153"/>
      <c r="D123" s="153" t="str">
        <f>IFERROR(VLOOKUP(B123,'Data Elements'!$A:$D,3,0),"")</f>
        <v/>
      </c>
      <c r="E123" s="153"/>
      <c r="F123" s="153"/>
      <c r="G123" s="130"/>
      <c r="H123" s="153"/>
    </row>
    <row r="124" spans="1:8" x14ac:dyDescent="0.2">
      <c r="A124" s="153">
        <v>113</v>
      </c>
      <c r="C124" s="153"/>
      <c r="D124" s="153" t="str">
        <f>IFERROR(VLOOKUP(B124,'Data Elements'!$A:$D,3,0),"")</f>
        <v/>
      </c>
      <c r="E124" s="153"/>
      <c r="F124" s="153"/>
      <c r="G124" s="130"/>
      <c r="H124" s="153"/>
    </row>
    <row r="125" spans="1:8" x14ac:dyDescent="0.2">
      <c r="A125" s="153">
        <v>114</v>
      </c>
      <c r="C125" s="153"/>
      <c r="D125" s="153" t="str">
        <f>IFERROR(VLOOKUP(B125,'Data Elements'!$A:$D,3,0),"")</f>
        <v/>
      </c>
      <c r="E125" s="153"/>
      <c r="F125" s="153"/>
      <c r="G125" s="130"/>
      <c r="H125" s="130"/>
    </row>
    <row r="126" spans="1:8" x14ac:dyDescent="0.2">
      <c r="A126" s="153">
        <v>115</v>
      </c>
      <c r="C126" s="153"/>
      <c r="D126" s="153" t="str">
        <f>IFERROR(VLOOKUP(B126,'Data Elements'!$A:$D,3,0),"")</f>
        <v/>
      </c>
      <c r="E126" s="153"/>
      <c r="F126" s="153"/>
      <c r="G126" s="130"/>
      <c r="H126" s="153"/>
    </row>
    <row r="127" spans="1:8" x14ac:dyDescent="0.2">
      <c r="A127" s="153">
        <v>116</v>
      </c>
      <c r="C127" s="153"/>
      <c r="D127" s="153" t="str">
        <f>IFERROR(VLOOKUP(B127,'Data Elements'!$A:$D,3,0),"")</f>
        <v/>
      </c>
      <c r="E127" s="153"/>
      <c r="F127" s="153"/>
      <c r="G127" s="130"/>
      <c r="H127" s="153"/>
    </row>
    <row r="128" spans="1:8" x14ac:dyDescent="0.2">
      <c r="A128" s="153">
        <v>117</v>
      </c>
      <c r="C128" s="153"/>
      <c r="D128" s="153" t="str">
        <f>IFERROR(VLOOKUP(B128,'Data Elements'!$A:$D,3,0),"")</f>
        <v/>
      </c>
      <c r="E128" s="153"/>
      <c r="F128" s="153"/>
      <c r="G128" s="130"/>
      <c r="H128" s="130"/>
    </row>
    <row r="129" spans="1:8" x14ac:dyDescent="0.2">
      <c r="A129" s="153">
        <v>118</v>
      </c>
      <c r="C129" s="153"/>
      <c r="D129" s="153" t="str">
        <f>IFERROR(VLOOKUP(B129,'Data Elements'!$A:$D,3,0),"")</f>
        <v/>
      </c>
      <c r="E129" s="153"/>
      <c r="F129" s="153"/>
      <c r="G129" s="130"/>
      <c r="H129" s="153"/>
    </row>
    <row r="130" spans="1:8" x14ac:dyDescent="0.2">
      <c r="A130" s="153">
        <v>119</v>
      </c>
      <c r="C130" s="153"/>
      <c r="D130" s="153" t="str">
        <f>IFERROR(VLOOKUP(B130,'Data Elements'!$A:$D,3,0),"")</f>
        <v/>
      </c>
      <c r="E130" s="153"/>
      <c r="F130" s="153"/>
      <c r="G130" s="130"/>
      <c r="H130" s="153"/>
    </row>
    <row r="131" spans="1:8" x14ac:dyDescent="0.2">
      <c r="A131" s="153">
        <v>120</v>
      </c>
      <c r="C131" s="153"/>
      <c r="D131" s="153" t="str">
        <f>IFERROR(VLOOKUP(B131,'Data Elements'!$A:$D,3,0),"")</f>
        <v/>
      </c>
      <c r="E131" s="153"/>
      <c r="F131" s="153"/>
      <c r="G131" s="130"/>
      <c r="H131" s="130"/>
    </row>
    <row r="132" spans="1:8" x14ac:dyDescent="0.2">
      <c r="A132" s="153">
        <v>121</v>
      </c>
      <c r="C132" s="153"/>
      <c r="D132" s="153" t="str">
        <f>IFERROR(VLOOKUP(B132,'Data Elements'!$A:$D,3,0),"")</f>
        <v/>
      </c>
      <c r="E132" s="153"/>
      <c r="F132" s="153"/>
      <c r="G132" s="130"/>
      <c r="H132" s="153"/>
    </row>
    <row r="133" spans="1:8" x14ac:dyDescent="0.2">
      <c r="A133" s="153">
        <v>122</v>
      </c>
      <c r="C133" s="153"/>
      <c r="D133" s="153" t="str">
        <f>IFERROR(VLOOKUP(B133,'Data Elements'!$A:$D,3,0),"")</f>
        <v/>
      </c>
      <c r="E133" s="153"/>
      <c r="F133" s="153"/>
      <c r="G133" s="130"/>
      <c r="H133" s="153"/>
    </row>
    <row r="134" spans="1:8" x14ac:dyDescent="0.2">
      <c r="A134" s="153">
        <v>123</v>
      </c>
      <c r="C134" s="153"/>
      <c r="D134" s="153" t="str">
        <f>IFERROR(VLOOKUP(B134,'Data Elements'!$A:$D,3,0),"")</f>
        <v/>
      </c>
      <c r="E134" s="153"/>
      <c r="F134" s="153"/>
      <c r="G134" s="130"/>
      <c r="H134" s="130"/>
    </row>
    <row r="135" spans="1:8" x14ac:dyDescent="0.2">
      <c r="A135" s="153">
        <v>124</v>
      </c>
      <c r="C135" s="153"/>
      <c r="D135" s="153" t="str">
        <f>IFERROR(VLOOKUP(B135,'Data Elements'!$A:$D,3,0),"")</f>
        <v/>
      </c>
      <c r="E135" s="153"/>
      <c r="F135" s="153"/>
      <c r="G135" s="130"/>
      <c r="H135" s="153"/>
    </row>
    <row r="136" spans="1:8" x14ac:dyDescent="0.2">
      <c r="A136" s="153">
        <v>125</v>
      </c>
      <c r="C136" s="153"/>
      <c r="D136" s="153" t="str">
        <f>IFERROR(VLOOKUP(B136,'Data Elements'!$A:$D,3,0),"")</f>
        <v/>
      </c>
      <c r="E136" s="153"/>
      <c r="F136" s="153"/>
      <c r="G136" s="130"/>
      <c r="H136" s="153"/>
    </row>
    <row r="137" spans="1:8" x14ac:dyDescent="0.2">
      <c r="A137" s="153">
        <v>126</v>
      </c>
      <c r="C137" s="153"/>
      <c r="D137" s="153" t="str">
        <f>IFERROR(VLOOKUP(B137,'Data Elements'!$A:$D,3,0),"")</f>
        <v/>
      </c>
      <c r="E137" s="153"/>
      <c r="F137" s="153"/>
      <c r="G137" s="130"/>
      <c r="H137" s="130"/>
    </row>
    <row r="138" spans="1:8" x14ac:dyDescent="0.2">
      <c r="A138" s="153">
        <v>127</v>
      </c>
      <c r="C138" s="153"/>
      <c r="D138" s="153" t="str">
        <f>IFERROR(VLOOKUP(B138,'Data Elements'!$A:$D,3,0),"")</f>
        <v/>
      </c>
      <c r="E138" s="153"/>
      <c r="F138" s="153"/>
      <c r="G138" s="130"/>
      <c r="H138" s="153"/>
    </row>
    <row r="139" spans="1:8" x14ac:dyDescent="0.2">
      <c r="A139" s="153">
        <v>128</v>
      </c>
      <c r="C139" s="153"/>
      <c r="D139" s="153" t="str">
        <f>IFERROR(VLOOKUP(B139,'Data Elements'!$A:$D,3,0),"")</f>
        <v/>
      </c>
      <c r="E139" s="153"/>
      <c r="F139" s="153"/>
      <c r="G139" s="130"/>
      <c r="H139" s="153"/>
    </row>
    <row r="140" spans="1:8" x14ac:dyDescent="0.2">
      <c r="A140" s="153">
        <v>129</v>
      </c>
      <c r="C140" s="153"/>
      <c r="D140" s="153" t="str">
        <f>IFERROR(VLOOKUP(B140,'Data Elements'!$A:$D,3,0),"")</f>
        <v/>
      </c>
      <c r="E140" s="153"/>
      <c r="F140" s="153"/>
      <c r="G140" s="130"/>
      <c r="H140" s="130"/>
    </row>
    <row r="141" spans="1:8" x14ac:dyDescent="0.2">
      <c r="A141" s="153">
        <v>130</v>
      </c>
      <c r="C141" s="153"/>
      <c r="D141" s="153" t="str">
        <f>IFERROR(VLOOKUP(B141,'Data Elements'!$A:$D,3,0),"")</f>
        <v/>
      </c>
      <c r="E141" s="153"/>
      <c r="F141" s="153"/>
      <c r="G141" s="130"/>
      <c r="H141" s="153"/>
    </row>
    <row r="142" spans="1:8" x14ac:dyDescent="0.2">
      <c r="A142" s="153">
        <v>131</v>
      </c>
      <c r="C142" s="153"/>
      <c r="D142" s="153" t="str">
        <f>IFERROR(VLOOKUP(B142,'Data Elements'!$A:$D,3,0),"")</f>
        <v/>
      </c>
      <c r="E142" s="153"/>
      <c r="F142" s="153"/>
      <c r="G142" s="130"/>
      <c r="H142" s="153"/>
    </row>
    <row r="143" spans="1:8" x14ac:dyDescent="0.2">
      <c r="A143" s="153">
        <v>132</v>
      </c>
      <c r="C143" s="153"/>
      <c r="D143" s="153" t="str">
        <f>IFERROR(VLOOKUP(B143,'Data Elements'!$A:$D,3,0),"")</f>
        <v/>
      </c>
      <c r="E143" s="153"/>
      <c r="F143" s="153"/>
      <c r="G143" s="130"/>
      <c r="H143" s="130"/>
    </row>
    <row r="144" spans="1:8" x14ac:dyDescent="0.2">
      <c r="A144" s="153">
        <v>133</v>
      </c>
      <c r="C144" s="153"/>
      <c r="D144" s="153" t="str">
        <f>IFERROR(VLOOKUP(B144,'Data Elements'!$A:$D,3,0),"")</f>
        <v/>
      </c>
      <c r="E144" s="153"/>
      <c r="F144" s="153"/>
      <c r="G144" s="130"/>
      <c r="H144" s="153"/>
    </row>
    <row r="145" spans="1:8" x14ac:dyDescent="0.2">
      <c r="A145" s="153">
        <v>134</v>
      </c>
      <c r="C145" s="153"/>
      <c r="D145" s="153" t="str">
        <f>IFERROR(VLOOKUP(B145,'Data Elements'!$A:$D,3,0),"")</f>
        <v/>
      </c>
      <c r="E145" s="153"/>
      <c r="F145" s="153"/>
      <c r="G145" s="130"/>
      <c r="H145" s="153"/>
    </row>
    <row r="146" spans="1:8" x14ac:dyDescent="0.2">
      <c r="A146" s="153">
        <v>135</v>
      </c>
      <c r="C146" s="153"/>
      <c r="D146" s="153" t="str">
        <f>IFERROR(VLOOKUP(B146,'Data Elements'!$A:$D,3,0),"")</f>
        <v/>
      </c>
      <c r="E146" s="153"/>
      <c r="F146" s="153"/>
      <c r="G146" s="130"/>
      <c r="H146" s="130"/>
    </row>
    <row r="147" spans="1:8" x14ac:dyDescent="0.2">
      <c r="A147" s="153">
        <v>136</v>
      </c>
      <c r="C147" s="153"/>
      <c r="D147" s="153" t="str">
        <f>IFERROR(VLOOKUP(B147,'Data Elements'!$A:$D,3,0),"")</f>
        <v/>
      </c>
      <c r="E147" s="153"/>
      <c r="F147" s="153"/>
      <c r="G147" s="130"/>
      <c r="H147" s="153"/>
    </row>
    <row r="148" spans="1:8" x14ac:dyDescent="0.2">
      <c r="A148" s="153">
        <v>137</v>
      </c>
      <c r="C148" s="153"/>
      <c r="D148" s="153" t="str">
        <f>IFERROR(VLOOKUP(B148,'Data Elements'!$A:$D,3,0),"")</f>
        <v/>
      </c>
      <c r="E148" s="153"/>
      <c r="F148" s="153"/>
      <c r="G148" s="130"/>
      <c r="H148" s="153"/>
    </row>
    <row r="149" spans="1:8" x14ac:dyDescent="0.2">
      <c r="A149" s="153">
        <v>138</v>
      </c>
      <c r="C149" s="153"/>
      <c r="D149" s="153" t="str">
        <f>IFERROR(VLOOKUP(B149,'Data Elements'!$A:$D,3,0),"")</f>
        <v/>
      </c>
      <c r="E149" s="153"/>
      <c r="F149" s="153"/>
      <c r="G149" s="130"/>
      <c r="H149" s="130"/>
    </row>
    <row r="150" spans="1:8" x14ac:dyDescent="0.2">
      <c r="A150" s="153">
        <v>139</v>
      </c>
      <c r="C150" s="153"/>
      <c r="D150" s="153" t="str">
        <f>IFERROR(VLOOKUP(B150,'Data Elements'!$A:$D,3,0),"")</f>
        <v/>
      </c>
      <c r="E150" s="153"/>
      <c r="F150" s="153"/>
      <c r="G150" s="130"/>
      <c r="H150" s="153"/>
    </row>
    <row r="151" spans="1:8" x14ac:dyDescent="0.2">
      <c r="A151" s="153">
        <v>140</v>
      </c>
      <c r="C151" s="153"/>
      <c r="D151" s="153" t="str">
        <f>IFERROR(VLOOKUP(B151,'Data Elements'!$A:$D,3,0),"")</f>
        <v/>
      </c>
      <c r="E151" s="153"/>
      <c r="F151" s="153"/>
      <c r="G151" s="130"/>
      <c r="H151" s="153"/>
    </row>
    <row r="152" spans="1:8" x14ac:dyDescent="0.2">
      <c r="A152" s="153">
        <v>141</v>
      </c>
      <c r="C152" s="153"/>
      <c r="D152" s="153" t="str">
        <f>IFERROR(VLOOKUP(B152,'Data Elements'!$A:$D,3,0),"")</f>
        <v/>
      </c>
      <c r="E152" s="153"/>
      <c r="F152" s="153"/>
      <c r="G152" s="130"/>
      <c r="H152" s="130"/>
    </row>
    <row r="153" spans="1:8" x14ac:dyDescent="0.2">
      <c r="A153" s="153">
        <v>142</v>
      </c>
      <c r="C153" s="153"/>
      <c r="D153" s="153" t="str">
        <f>IFERROR(VLOOKUP(B153,'Data Elements'!$A:$D,3,0),"")</f>
        <v/>
      </c>
      <c r="E153" s="153"/>
      <c r="F153" s="153"/>
      <c r="G153" s="130"/>
      <c r="H153" s="153"/>
    </row>
    <row r="154" spans="1:8" x14ac:dyDescent="0.2">
      <c r="A154" s="153">
        <v>143</v>
      </c>
      <c r="C154" s="153"/>
      <c r="D154" s="153" t="str">
        <f>IFERROR(VLOOKUP(B154,'Data Elements'!$A:$D,3,0),"")</f>
        <v/>
      </c>
      <c r="E154" s="153"/>
      <c r="F154" s="153"/>
      <c r="G154" s="130"/>
      <c r="H154" s="153"/>
    </row>
    <row r="155" spans="1:8" x14ac:dyDescent="0.2">
      <c r="A155" s="153">
        <v>144</v>
      </c>
      <c r="C155" s="153"/>
      <c r="D155" s="153" t="str">
        <f>IFERROR(VLOOKUP(B155,'Data Elements'!$A:$D,3,0),"")</f>
        <v/>
      </c>
      <c r="E155" s="153"/>
      <c r="F155" s="153"/>
      <c r="G155" s="130"/>
      <c r="H155" s="130"/>
    </row>
    <row r="156" spans="1:8" x14ac:dyDescent="0.2">
      <c r="A156" s="153">
        <v>145</v>
      </c>
      <c r="C156" s="153"/>
      <c r="D156" s="153" t="str">
        <f>IFERROR(VLOOKUP(B156,'Data Elements'!$A:$D,3,0),"")</f>
        <v/>
      </c>
      <c r="E156" s="153"/>
      <c r="F156" s="153"/>
      <c r="G156" s="130"/>
      <c r="H156" s="153"/>
    </row>
    <row r="157" spans="1:8" x14ac:dyDescent="0.2">
      <c r="A157" s="153">
        <v>146</v>
      </c>
      <c r="C157" s="153"/>
      <c r="D157" s="153" t="str">
        <f>IFERROR(VLOOKUP(B157,'Data Elements'!$A:$D,3,0),"")</f>
        <v/>
      </c>
      <c r="E157" s="153"/>
      <c r="F157" s="153"/>
      <c r="G157" s="130"/>
      <c r="H157" s="153"/>
    </row>
    <row r="158" spans="1:8" x14ac:dyDescent="0.2">
      <c r="A158" s="153">
        <v>147</v>
      </c>
      <c r="C158" s="153"/>
      <c r="D158" s="153" t="str">
        <f>IFERROR(VLOOKUP(B158,'Data Elements'!$A:$D,3,0),"")</f>
        <v/>
      </c>
      <c r="E158" s="153"/>
      <c r="F158" s="153"/>
      <c r="G158" s="130"/>
      <c r="H158" s="130"/>
    </row>
    <row r="159" spans="1:8" x14ac:dyDescent="0.2">
      <c r="A159" s="153">
        <v>148</v>
      </c>
      <c r="C159" s="153"/>
      <c r="D159" s="153" t="str">
        <f>IFERROR(VLOOKUP(B159,'Data Elements'!$A:$D,3,0),"")</f>
        <v/>
      </c>
      <c r="E159" s="153"/>
      <c r="F159" s="153"/>
      <c r="G159" s="130"/>
      <c r="H159" s="153"/>
    </row>
    <row r="160" spans="1:8" x14ac:dyDescent="0.2">
      <c r="A160" s="153">
        <v>149</v>
      </c>
      <c r="C160" s="153"/>
      <c r="D160" s="153" t="str">
        <f>IFERROR(VLOOKUP(B160,'Data Elements'!$A:$D,3,0),"")</f>
        <v/>
      </c>
      <c r="E160" s="153"/>
      <c r="F160" s="153"/>
      <c r="G160" s="130"/>
      <c r="H160" s="153"/>
    </row>
    <row r="161" spans="1:8" x14ac:dyDescent="0.2">
      <c r="A161" s="153">
        <v>150</v>
      </c>
      <c r="C161" s="153"/>
      <c r="D161" s="153" t="str">
        <f>IFERROR(VLOOKUP(B161,'Data Elements'!$A:$D,3,0),"")</f>
        <v/>
      </c>
      <c r="E161" s="153"/>
      <c r="F161" s="153"/>
      <c r="G161" s="130"/>
      <c r="H161" s="130"/>
    </row>
    <row r="162" spans="1:8" x14ac:dyDescent="0.2">
      <c r="A162" s="153">
        <v>151</v>
      </c>
      <c r="C162" s="153"/>
      <c r="D162" s="153" t="str">
        <f>IFERROR(VLOOKUP(B162,'Data Elements'!$A:$D,3,0),"")</f>
        <v/>
      </c>
      <c r="E162" s="153"/>
      <c r="F162" s="153"/>
      <c r="G162" s="130"/>
      <c r="H162" s="153"/>
    </row>
    <row r="163" spans="1:8" x14ac:dyDescent="0.2">
      <c r="A163" s="153">
        <v>152</v>
      </c>
      <c r="C163" s="153"/>
      <c r="D163" s="153" t="str">
        <f>IFERROR(VLOOKUP(B163,'Data Elements'!$A:$D,3,0),"")</f>
        <v/>
      </c>
      <c r="E163" s="153"/>
      <c r="F163" s="153"/>
      <c r="G163" s="130"/>
      <c r="H163" s="153"/>
    </row>
    <row r="164" spans="1:8" x14ac:dyDescent="0.2">
      <c r="A164" s="153">
        <v>153</v>
      </c>
      <c r="C164" s="153"/>
      <c r="D164" s="153" t="str">
        <f>IFERROR(VLOOKUP(B164,'Data Elements'!$A:$D,3,0),"")</f>
        <v/>
      </c>
      <c r="E164" s="153"/>
      <c r="F164" s="153"/>
      <c r="G164" s="130"/>
      <c r="H164" s="130"/>
    </row>
    <row r="165" spans="1:8" x14ac:dyDescent="0.2">
      <c r="A165" s="153">
        <v>154</v>
      </c>
      <c r="C165" s="153"/>
      <c r="D165" s="153" t="str">
        <f>IFERROR(VLOOKUP(B165,'Data Elements'!$A:$D,3,0),"")</f>
        <v/>
      </c>
      <c r="E165" s="153"/>
      <c r="F165" s="153"/>
      <c r="G165" s="130"/>
      <c r="H165" s="153"/>
    </row>
    <row r="166" spans="1:8" x14ac:dyDescent="0.2">
      <c r="A166" s="153">
        <v>155</v>
      </c>
      <c r="C166" s="153"/>
      <c r="D166" s="153" t="str">
        <f>IFERROR(VLOOKUP(B166,'Data Elements'!$A:$D,3,0),"")</f>
        <v/>
      </c>
      <c r="E166" s="153"/>
      <c r="F166" s="153"/>
      <c r="G166" s="130"/>
      <c r="H166" s="153"/>
    </row>
    <row r="167" spans="1:8" x14ac:dyDescent="0.2">
      <c r="A167" s="153">
        <v>156</v>
      </c>
      <c r="C167" s="153"/>
      <c r="D167" s="153" t="str">
        <f>IFERROR(VLOOKUP(B167,'Data Elements'!$A:$D,3,0),"")</f>
        <v/>
      </c>
      <c r="E167" s="153"/>
      <c r="F167" s="153"/>
      <c r="G167" s="130"/>
      <c r="H167" s="130"/>
    </row>
    <row r="168" spans="1:8" x14ac:dyDescent="0.2">
      <c r="A168" s="153">
        <v>157</v>
      </c>
      <c r="C168" s="153"/>
      <c r="D168" s="153" t="str">
        <f>IFERROR(VLOOKUP(B168,'Data Elements'!$A:$D,3,0),"")</f>
        <v/>
      </c>
      <c r="E168" s="153"/>
      <c r="F168" s="153"/>
      <c r="G168" s="130"/>
      <c r="H168" s="153"/>
    </row>
    <row r="169" spans="1:8" x14ac:dyDescent="0.2">
      <c r="A169" s="153">
        <v>158</v>
      </c>
      <c r="C169" s="153"/>
      <c r="D169" s="153" t="str">
        <f>IFERROR(VLOOKUP(B169,'Data Elements'!$A:$D,3,0),"")</f>
        <v/>
      </c>
      <c r="E169" s="153"/>
      <c r="F169" s="153"/>
      <c r="G169" s="130"/>
      <c r="H169" s="153"/>
    </row>
    <row r="170" spans="1:8" x14ac:dyDescent="0.2">
      <c r="A170" s="153">
        <v>159</v>
      </c>
      <c r="C170" s="153"/>
      <c r="D170" s="153" t="str">
        <f>IFERROR(VLOOKUP(B170,'Data Elements'!$A:$D,3,0),"")</f>
        <v/>
      </c>
      <c r="E170" s="153"/>
      <c r="F170" s="153"/>
      <c r="G170" s="130"/>
      <c r="H170" s="130"/>
    </row>
    <row r="171" spans="1:8" x14ac:dyDescent="0.2">
      <c r="A171" s="153">
        <v>160</v>
      </c>
      <c r="C171" s="153"/>
      <c r="D171" s="153" t="str">
        <f>IFERROR(VLOOKUP(B171,'Data Elements'!$A:$D,3,0),"")</f>
        <v/>
      </c>
      <c r="E171" s="153"/>
      <c r="F171" s="153"/>
      <c r="G171" s="130"/>
      <c r="H171" s="153"/>
    </row>
    <row r="172" spans="1:8" x14ac:dyDescent="0.2">
      <c r="A172" s="153">
        <v>161</v>
      </c>
      <c r="C172" s="153"/>
      <c r="D172" s="153" t="str">
        <f>IFERROR(VLOOKUP(B172,'Data Elements'!$A:$D,3,0),"")</f>
        <v/>
      </c>
      <c r="E172" s="153"/>
      <c r="F172" s="153"/>
      <c r="G172" s="130"/>
      <c r="H172" s="153"/>
    </row>
    <row r="173" spans="1:8" x14ac:dyDescent="0.2">
      <c r="A173" s="153">
        <v>162</v>
      </c>
      <c r="C173" s="153"/>
      <c r="D173" s="153" t="str">
        <f>IFERROR(VLOOKUP(B173,'Data Elements'!$A:$D,3,0),"")</f>
        <v/>
      </c>
      <c r="E173" s="153"/>
      <c r="F173" s="153"/>
      <c r="G173" s="130"/>
      <c r="H173" s="130"/>
    </row>
    <row r="174" spans="1:8" x14ac:dyDescent="0.2">
      <c r="A174" s="153">
        <v>163</v>
      </c>
      <c r="C174" s="153"/>
      <c r="D174" s="153" t="str">
        <f>IFERROR(VLOOKUP(B174,'Data Elements'!$A:$D,3,0),"")</f>
        <v/>
      </c>
      <c r="E174" s="153"/>
      <c r="F174" s="153"/>
      <c r="G174" s="130"/>
      <c r="H174" s="153"/>
    </row>
    <row r="175" spans="1:8" x14ac:dyDescent="0.2">
      <c r="A175" s="153">
        <v>164</v>
      </c>
      <c r="C175" s="153"/>
      <c r="D175" s="153" t="str">
        <f>IFERROR(VLOOKUP(B175,'Data Elements'!$A:$D,3,0),"")</f>
        <v/>
      </c>
      <c r="E175" s="153"/>
      <c r="F175" s="153"/>
      <c r="G175" s="130"/>
      <c r="H175" s="153"/>
    </row>
    <row r="176" spans="1:8" x14ac:dyDescent="0.2">
      <c r="A176" s="153">
        <v>165</v>
      </c>
      <c r="C176" s="153"/>
      <c r="D176" s="153" t="str">
        <f>IFERROR(VLOOKUP(B176,'Data Elements'!$A:$D,3,0),"")</f>
        <v/>
      </c>
      <c r="E176" s="153"/>
      <c r="F176" s="153"/>
      <c r="G176" s="130"/>
      <c r="H176" s="130"/>
    </row>
    <row r="177" spans="1:8" x14ac:dyDescent="0.2">
      <c r="A177" s="153">
        <v>166</v>
      </c>
      <c r="C177" s="153"/>
      <c r="D177" s="153" t="str">
        <f>IFERROR(VLOOKUP(B177,'Data Elements'!$A:$D,3,0),"")</f>
        <v/>
      </c>
      <c r="E177" s="153"/>
      <c r="F177" s="153"/>
      <c r="G177" s="130"/>
      <c r="H177" s="153"/>
    </row>
    <row r="178" spans="1:8" x14ac:dyDescent="0.2">
      <c r="A178" s="153">
        <v>167</v>
      </c>
      <c r="C178" s="153"/>
      <c r="D178" s="153" t="str">
        <f>IFERROR(VLOOKUP(B178,'Data Elements'!$A:$D,3,0),"")</f>
        <v/>
      </c>
      <c r="E178" s="153"/>
      <c r="F178" s="153"/>
      <c r="G178" s="130"/>
      <c r="H178" s="153"/>
    </row>
    <row r="179" spans="1:8" x14ac:dyDescent="0.2">
      <c r="A179" s="153">
        <v>168</v>
      </c>
      <c r="C179" s="153"/>
      <c r="D179" s="153" t="str">
        <f>IFERROR(VLOOKUP(B179,'Data Elements'!$A:$D,3,0),"")</f>
        <v/>
      </c>
      <c r="E179" s="153"/>
      <c r="F179" s="153"/>
      <c r="G179" s="130"/>
      <c r="H179" s="130"/>
    </row>
    <row r="180" spans="1:8" x14ac:dyDescent="0.2">
      <c r="A180" s="153">
        <v>169</v>
      </c>
      <c r="C180" s="153"/>
      <c r="D180" s="153" t="str">
        <f>IFERROR(VLOOKUP(B180,'Data Elements'!$A:$D,3,0),"")</f>
        <v/>
      </c>
      <c r="E180" s="153"/>
      <c r="F180" s="153"/>
      <c r="G180" s="130"/>
      <c r="H180" s="153"/>
    </row>
    <row r="181" spans="1:8" x14ac:dyDescent="0.2">
      <c r="A181" s="153">
        <v>170</v>
      </c>
      <c r="C181" s="153"/>
      <c r="D181" s="153" t="str">
        <f>IFERROR(VLOOKUP(B181,'Data Elements'!$A:$D,3,0),"")</f>
        <v/>
      </c>
      <c r="E181" s="153"/>
      <c r="F181" s="153"/>
      <c r="G181" s="130"/>
      <c r="H181" s="153"/>
    </row>
    <row r="182" spans="1:8" x14ac:dyDescent="0.2">
      <c r="A182" s="153">
        <v>171</v>
      </c>
      <c r="C182" s="153"/>
      <c r="D182" s="153" t="str">
        <f>IFERROR(VLOOKUP(B182,'Data Elements'!$A:$D,3,0),"")</f>
        <v/>
      </c>
      <c r="E182" s="153"/>
      <c r="F182" s="153"/>
      <c r="G182" s="130"/>
      <c r="H182" s="130"/>
    </row>
    <row r="183" spans="1:8" x14ac:dyDescent="0.2">
      <c r="A183" s="153">
        <v>172</v>
      </c>
      <c r="C183" s="153"/>
      <c r="D183" s="153" t="str">
        <f>IFERROR(VLOOKUP(B183,'Data Elements'!$A:$D,3,0),"")</f>
        <v/>
      </c>
      <c r="E183" s="153"/>
      <c r="F183" s="153"/>
      <c r="G183" s="130"/>
      <c r="H183" s="153"/>
    </row>
    <row r="184" spans="1:8" x14ac:dyDescent="0.2">
      <c r="A184" s="153">
        <v>173</v>
      </c>
      <c r="C184" s="153"/>
      <c r="D184" s="153" t="str">
        <f>IFERROR(VLOOKUP(B184,'Data Elements'!$A:$D,3,0),"")</f>
        <v/>
      </c>
      <c r="E184" s="153"/>
      <c r="F184" s="153"/>
      <c r="G184" s="130"/>
      <c r="H184" s="153"/>
    </row>
    <row r="185" spans="1:8" x14ac:dyDescent="0.2">
      <c r="A185" s="153">
        <v>174</v>
      </c>
      <c r="C185" s="153"/>
      <c r="D185" s="153" t="str">
        <f>IFERROR(VLOOKUP(B185,'Data Elements'!$A:$D,3,0),"")</f>
        <v/>
      </c>
      <c r="E185" s="153"/>
      <c r="F185" s="153"/>
      <c r="G185" s="130"/>
      <c r="H185" s="130"/>
    </row>
    <row r="186" spans="1:8" x14ac:dyDescent="0.2">
      <c r="A186" s="153">
        <v>175</v>
      </c>
      <c r="C186" s="153"/>
      <c r="D186" s="153" t="str">
        <f>IFERROR(VLOOKUP(B186,'Data Elements'!$A:$D,3,0),"")</f>
        <v/>
      </c>
      <c r="E186" s="153"/>
      <c r="F186" s="153"/>
      <c r="G186" s="130"/>
      <c r="H186" s="153"/>
    </row>
    <row r="187" spans="1:8" x14ac:dyDescent="0.2">
      <c r="A187" s="153">
        <v>176</v>
      </c>
      <c r="C187" s="153"/>
      <c r="D187" s="153" t="str">
        <f>IFERROR(VLOOKUP(B187,'Data Elements'!$A:$D,3,0),"")</f>
        <v/>
      </c>
      <c r="E187" s="153"/>
      <c r="F187" s="153"/>
      <c r="G187" s="130"/>
      <c r="H187" s="153"/>
    </row>
    <row r="188" spans="1:8" x14ac:dyDescent="0.2">
      <c r="A188" s="153">
        <v>177</v>
      </c>
      <c r="C188" s="153"/>
      <c r="D188" s="153" t="str">
        <f>IFERROR(VLOOKUP(B188,'Data Elements'!$A:$D,3,0),"")</f>
        <v/>
      </c>
      <c r="E188" s="153"/>
      <c r="F188" s="153"/>
      <c r="G188" s="130"/>
      <c r="H188" s="130"/>
    </row>
    <row r="189" spans="1:8" x14ac:dyDescent="0.2">
      <c r="A189" s="153">
        <v>178</v>
      </c>
      <c r="C189" s="153"/>
      <c r="D189" s="153" t="str">
        <f>IFERROR(VLOOKUP(B189,'Data Elements'!$A:$D,3,0),"")</f>
        <v/>
      </c>
      <c r="E189" s="153"/>
      <c r="F189" s="153"/>
      <c r="G189" s="130"/>
      <c r="H189" s="153"/>
    </row>
    <row r="190" spans="1:8" x14ac:dyDescent="0.2">
      <c r="A190" s="153">
        <v>179</v>
      </c>
      <c r="C190" s="153"/>
      <c r="D190" s="153" t="str">
        <f>IFERROR(VLOOKUP(B190,'Data Elements'!$A:$D,3,0),"")</f>
        <v/>
      </c>
      <c r="E190" s="153"/>
      <c r="F190" s="153"/>
      <c r="G190" s="130"/>
      <c r="H190" s="153"/>
    </row>
    <row r="191" spans="1:8" x14ac:dyDescent="0.2">
      <c r="A191" s="153">
        <v>180</v>
      </c>
      <c r="C191" s="153"/>
      <c r="D191" s="153" t="str">
        <f>IFERROR(VLOOKUP(B191,'Data Elements'!$A:$D,3,0),"")</f>
        <v/>
      </c>
      <c r="E191" s="153"/>
      <c r="F191" s="153"/>
      <c r="G191" s="130"/>
      <c r="H191" s="130"/>
    </row>
    <row r="192" spans="1:8" x14ac:dyDescent="0.2">
      <c r="A192" s="153">
        <v>181</v>
      </c>
      <c r="C192" s="153"/>
      <c r="D192" s="153" t="str">
        <f>IFERROR(VLOOKUP(B192,'Data Elements'!$A:$D,3,0),"")</f>
        <v/>
      </c>
      <c r="E192" s="153"/>
      <c r="F192" s="153"/>
      <c r="G192" s="130"/>
      <c r="H192" s="153"/>
    </row>
    <row r="193" spans="1:8" x14ac:dyDescent="0.2">
      <c r="A193" s="153">
        <v>182</v>
      </c>
      <c r="C193" s="153"/>
      <c r="D193" s="153" t="str">
        <f>IFERROR(VLOOKUP(B193,'Data Elements'!$A:$D,3,0),"")</f>
        <v/>
      </c>
      <c r="E193" s="153"/>
      <c r="F193" s="153"/>
      <c r="G193" s="130"/>
      <c r="H193" s="153"/>
    </row>
    <row r="194" spans="1:8" x14ac:dyDescent="0.2">
      <c r="A194" s="153">
        <v>183</v>
      </c>
      <c r="C194" s="153"/>
      <c r="D194" s="153" t="str">
        <f>IFERROR(VLOOKUP(B194,'Data Elements'!$A:$D,3,0),"")</f>
        <v/>
      </c>
      <c r="E194" s="153"/>
      <c r="F194" s="153"/>
      <c r="G194" s="130"/>
      <c r="H194" s="130"/>
    </row>
    <row r="195" spans="1:8" x14ac:dyDescent="0.2">
      <c r="A195" s="153">
        <v>184</v>
      </c>
      <c r="C195" s="153"/>
      <c r="D195" s="153" t="str">
        <f>IFERROR(VLOOKUP(B195,'Data Elements'!$A:$D,3,0),"")</f>
        <v/>
      </c>
      <c r="E195" s="153"/>
      <c r="F195" s="153"/>
      <c r="G195" s="130"/>
      <c r="H195" s="153"/>
    </row>
    <row r="196" spans="1:8" x14ac:dyDescent="0.2">
      <c r="A196" s="153">
        <v>185</v>
      </c>
      <c r="C196" s="153"/>
      <c r="D196" s="153" t="str">
        <f>IFERROR(VLOOKUP(B196,'Data Elements'!$A:$D,3,0),"")</f>
        <v/>
      </c>
      <c r="E196" s="153"/>
      <c r="F196" s="153"/>
      <c r="G196" s="130"/>
      <c r="H196" s="153"/>
    </row>
    <row r="197" spans="1:8" x14ac:dyDescent="0.2">
      <c r="A197" s="153">
        <v>186</v>
      </c>
      <c r="C197" s="153"/>
      <c r="D197" s="153" t="str">
        <f>IFERROR(VLOOKUP(B197,'Data Elements'!$A:$D,3,0),"")</f>
        <v/>
      </c>
      <c r="E197" s="153"/>
      <c r="F197" s="153"/>
      <c r="G197" s="130"/>
      <c r="H197" s="130"/>
    </row>
    <row r="198" spans="1:8" x14ac:dyDescent="0.2">
      <c r="A198" s="153">
        <v>187</v>
      </c>
      <c r="C198" s="153"/>
      <c r="D198" s="153" t="str">
        <f>IFERROR(VLOOKUP(B198,'Data Elements'!$A:$D,3,0),"")</f>
        <v/>
      </c>
      <c r="E198" s="153"/>
      <c r="F198" s="153"/>
      <c r="G198" s="130"/>
      <c r="H198" s="153"/>
    </row>
    <row r="199" spans="1:8" x14ac:dyDescent="0.2">
      <c r="A199" s="153">
        <v>188</v>
      </c>
      <c r="C199" s="153"/>
      <c r="D199" s="153" t="str">
        <f>IFERROR(VLOOKUP(B199,'Data Elements'!$A:$D,3,0),"")</f>
        <v/>
      </c>
      <c r="E199" s="153"/>
      <c r="F199" s="153"/>
      <c r="G199" s="130"/>
      <c r="H199" s="153"/>
    </row>
    <row r="200" spans="1:8" x14ac:dyDescent="0.2">
      <c r="A200" s="153">
        <v>189</v>
      </c>
      <c r="C200" s="153"/>
      <c r="D200" s="153" t="str">
        <f>IFERROR(VLOOKUP(B200,'Data Elements'!$A:$D,3,0),"")</f>
        <v/>
      </c>
      <c r="E200" s="153"/>
      <c r="F200" s="153"/>
      <c r="G200" s="130"/>
      <c r="H200" s="130"/>
    </row>
    <row r="201" spans="1:8" x14ac:dyDescent="0.2">
      <c r="A201" s="153">
        <v>190</v>
      </c>
      <c r="C201" s="153"/>
      <c r="D201" s="153" t="str">
        <f>IFERROR(VLOOKUP(B201,'Data Elements'!$A:$D,3,0),"")</f>
        <v/>
      </c>
      <c r="E201" s="153"/>
      <c r="F201" s="153"/>
      <c r="G201" s="130"/>
      <c r="H201" s="153"/>
    </row>
  </sheetData>
  <mergeCells count="1">
    <mergeCell ref="A1:H1"/>
  </mergeCells>
  <conditionalFormatting sqref="D9:E9">
    <cfRule type="cellIs" dxfId="1" priority="1" operator="equal">
      <formula>0</formula>
    </cfRule>
  </conditionalFormatting>
  <dataValidations count="1">
    <dataValidation type="decimal" allowBlank="1" showInputMessage="1" showErrorMessage="1" sqref="F12:F56" xr:uid="{00000000-0002-0000-1400-000000000000}">
      <formula1>0</formula1>
      <formula2>12</formula2>
    </dataValidation>
  </dataValidations>
  <pageMargins left="0.7" right="0.7" top="0.75" bottom="0.75" header="0.3" footer="0.3"/>
  <pageSetup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F1D33A2-FB5B-47BE-9B01-41DFE2238063}">
          <x14:formula1>
            <xm:f>'Data Elements'!$A$3:$A$180</xm:f>
          </x14:formula1>
          <xm:sqref>B12:B201</xm:sqref>
        </x14:dataValidation>
        <x14:dataValidation type="list" allowBlank="1" showInputMessage="1" showErrorMessage="1" xr:uid="{ADAC712B-E202-4F84-96C8-DF1CE174D089}">
          <x14:formula1>
            <xm:f>'Data Elements'!$L$3:$L$5</xm:f>
          </x14:formula1>
          <xm:sqref>G12:G201</xm:sqref>
        </x14:dataValidation>
        <x14:dataValidation type="list" allowBlank="1" showInputMessage="1" showErrorMessage="1" xr:uid="{DE9F76F6-5595-44D2-8969-28667476CCC4}">
          <x14:formula1>
            <xm:f>'Data Elements'!$H$3:$H$179</xm:f>
          </x14:formula1>
          <xm:sqref>H14:H201</xm:sqref>
        </x14:dataValidation>
        <x14:dataValidation type="list" allowBlank="1" showInputMessage="1" showErrorMessage="1" xr:uid="{3F0AD61C-8859-4BB0-9B01-DC629C8B0286}">
          <x14:formula1>
            <xm:f>'Data Elements'!$H$3:$H$49</xm:f>
          </x14:formula1>
          <xm:sqref>H12:H13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1E09-59AC-4E6B-AB48-90F1561413A9}">
  <sheetPr>
    <tabColor rgb="FF000000"/>
    <pageSetUpPr fitToPage="1"/>
  </sheetPr>
  <dimension ref="A1:S90"/>
  <sheetViews>
    <sheetView topLeftCell="A30" workbookViewId="0">
      <selection activeCell="H50" sqref="H50"/>
    </sheetView>
    <sheetView topLeftCell="J37" workbookViewId="1">
      <selection activeCell="S86" sqref="S86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18.6640625" customWidth="1"/>
    <col min="4" max="4" width="32.5" customWidth="1"/>
    <col min="5" max="5" width="18.5" customWidth="1"/>
    <col min="6" max="6" width="17.1640625" customWidth="1"/>
    <col min="7" max="8" width="17" customWidth="1"/>
    <col min="9" max="9" width="15.83203125" customWidth="1"/>
    <col min="10" max="10" width="54.1640625" customWidth="1"/>
    <col min="11" max="11" width="14.1640625" customWidth="1"/>
    <col min="12" max="12" width="13.5" customWidth="1"/>
    <col min="14" max="14" width="22.5" customWidth="1"/>
    <col min="19" max="19" width="24.1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15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68</v>
      </c>
    </row>
    <row r="3" spans="1:10" ht="6" customHeight="1" thickBot="1" x14ac:dyDescent="0.25"/>
    <row r="4" spans="1:10" x14ac:dyDescent="0.2">
      <c r="B4" s="1191" t="s">
        <v>182</v>
      </c>
      <c r="C4" s="10" t="s">
        <v>183</v>
      </c>
      <c r="D4" s="173">
        <v>5.5</v>
      </c>
      <c r="E4" s="155" t="s">
        <v>184</v>
      </c>
    </row>
    <row r="5" spans="1:10" x14ac:dyDescent="0.2">
      <c r="B5" s="1192"/>
      <c r="C5" s="12" t="s">
        <v>185</v>
      </c>
      <c r="D5" s="13">
        <f>VLOOKUP($D$2,Overview!$A$4:$AC$31,20,0)</f>
        <v>119.7</v>
      </c>
      <c r="E5" s="11"/>
    </row>
    <row r="6" spans="1:10" ht="17" thickBot="1" x14ac:dyDescent="0.25">
      <c r="B6" s="1193"/>
      <c r="C6" s="14" t="s">
        <v>9</v>
      </c>
      <c r="D6" s="15">
        <f>VLOOKUP($D$2,Overview!$A$4:$AC$31,18,0)</f>
        <v>11.29245283018868</v>
      </c>
    </row>
    <row r="7" spans="1:10" x14ac:dyDescent="0.2">
      <c r="B7" s="1194" t="s">
        <v>186</v>
      </c>
      <c r="C7" s="16" t="s">
        <v>187</v>
      </c>
      <c r="D7" s="173">
        <v>5.5</v>
      </c>
      <c r="E7" s="155" t="s">
        <v>184</v>
      </c>
    </row>
    <row r="8" spans="1:10" x14ac:dyDescent="0.2">
      <c r="B8" s="1195"/>
      <c r="C8" s="17" t="s">
        <v>188</v>
      </c>
      <c r="D8" s="18">
        <f>VLOOKUP($D$2,Overview!$A$4:$AC$31,28,0)</f>
        <v>108.3</v>
      </c>
    </row>
    <row r="9" spans="1:10" ht="17" thickBot="1" x14ac:dyDescent="0.25">
      <c r="B9" s="1196"/>
      <c r="C9" s="19" t="s">
        <v>10</v>
      </c>
      <c r="D9" s="20">
        <f>VLOOKUP($D$2,Overview!$A$4:$AC$31,26,0)</f>
        <v>10.216981132075471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1134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64"/>
      <c r="C16" s="155" t="s">
        <v>190</v>
      </c>
      <c r="J16" s="25"/>
    </row>
    <row r="17" spans="2:10" ht="16.25" customHeight="1" x14ac:dyDescent="0.2">
      <c r="C17" s="155" t="s">
        <v>191</v>
      </c>
      <c r="J17" s="25"/>
    </row>
    <row r="18" spans="2:10" ht="16.25" customHeight="1" x14ac:dyDescent="0.2">
      <c r="C18" s="155" t="s">
        <v>192</v>
      </c>
      <c r="J18" s="25"/>
    </row>
    <row r="19" spans="2:10" s="1" customFormat="1" ht="19" x14ac:dyDescent="0.25"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x14ac:dyDescent="0.2">
      <c r="B20" s="1135"/>
      <c r="C20" s="879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ht="34" x14ac:dyDescent="0.2">
      <c r="B21" s="1136">
        <v>1</v>
      </c>
      <c r="C21" s="1083" t="s">
        <v>744</v>
      </c>
      <c r="D21" s="878">
        <v>1.5</v>
      </c>
      <c r="E21" s="118"/>
      <c r="F21" s="118">
        <v>1.5</v>
      </c>
      <c r="G21" s="119"/>
      <c r="H21" s="119"/>
      <c r="I21" s="120">
        <v>1.5</v>
      </c>
      <c r="J21" s="1093" t="s">
        <v>745</v>
      </c>
    </row>
    <row r="22" spans="2:10" x14ac:dyDescent="0.2">
      <c r="B22" s="1137">
        <v>2</v>
      </c>
      <c r="C22" s="1084" t="s">
        <v>746</v>
      </c>
      <c r="D22" s="285"/>
      <c r="E22" s="121"/>
      <c r="F22" s="121">
        <v>6</v>
      </c>
      <c r="G22" s="122"/>
      <c r="H22" s="122"/>
      <c r="I22" s="122"/>
      <c r="J22" s="282" t="s">
        <v>747</v>
      </c>
    </row>
    <row r="23" spans="2:10" s="886" customFormat="1" ht="51" x14ac:dyDescent="0.2">
      <c r="B23" s="1138">
        <v>3</v>
      </c>
      <c r="C23" s="1090" t="s">
        <v>748</v>
      </c>
      <c r="D23" s="1091">
        <v>1.5</v>
      </c>
      <c r="E23" s="372">
        <v>3</v>
      </c>
      <c r="F23" s="372">
        <v>3</v>
      </c>
      <c r="G23" s="377"/>
      <c r="H23" s="377">
        <v>3</v>
      </c>
      <c r="I23" s="377"/>
      <c r="J23" s="1092" t="s">
        <v>749</v>
      </c>
    </row>
    <row r="24" spans="2:10" x14ac:dyDescent="0.2">
      <c r="B24" s="1137">
        <v>4</v>
      </c>
      <c r="C24" s="1083" t="s">
        <v>750</v>
      </c>
      <c r="D24" s="285">
        <v>9</v>
      </c>
      <c r="E24" s="121">
        <v>1.5</v>
      </c>
      <c r="F24" s="121"/>
      <c r="G24" s="122">
        <v>9</v>
      </c>
      <c r="H24" s="122">
        <v>4.5</v>
      </c>
      <c r="I24" s="122"/>
      <c r="J24" s="282" t="s">
        <v>751</v>
      </c>
    </row>
    <row r="25" spans="2:10" x14ac:dyDescent="0.2">
      <c r="B25" s="1137">
        <v>5</v>
      </c>
      <c r="C25" s="1083" t="s">
        <v>752</v>
      </c>
      <c r="D25" s="285"/>
      <c r="E25" s="121"/>
      <c r="F25" s="121">
        <v>12</v>
      </c>
      <c r="G25" s="122"/>
      <c r="H25" s="122"/>
      <c r="I25" s="122"/>
      <c r="J25" s="282" t="s">
        <v>753</v>
      </c>
    </row>
    <row r="26" spans="2:10" ht="34" x14ac:dyDescent="0.2">
      <c r="B26" s="1137">
        <v>6</v>
      </c>
      <c r="C26" s="1083" t="s">
        <v>754</v>
      </c>
      <c r="D26" s="285">
        <v>1.5</v>
      </c>
      <c r="E26" s="121">
        <v>3</v>
      </c>
      <c r="F26" s="121">
        <v>1.5</v>
      </c>
      <c r="G26" s="122"/>
      <c r="H26" s="122"/>
      <c r="I26" s="122"/>
      <c r="J26" s="1092" t="s">
        <v>755</v>
      </c>
    </row>
    <row r="27" spans="2:10" x14ac:dyDescent="0.2">
      <c r="B27" s="1137">
        <v>7</v>
      </c>
      <c r="C27" s="351" t="s">
        <v>344</v>
      </c>
      <c r="D27" s="285"/>
      <c r="E27" s="121">
        <v>3</v>
      </c>
      <c r="F27" s="121"/>
      <c r="G27" s="122"/>
      <c r="H27" s="122">
        <v>3</v>
      </c>
      <c r="I27" s="122"/>
      <c r="J27" s="38" t="s">
        <v>545</v>
      </c>
    </row>
    <row r="28" spans="2:10" x14ac:dyDescent="0.2">
      <c r="B28" s="1137">
        <v>8</v>
      </c>
      <c r="C28" s="351" t="s">
        <v>344</v>
      </c>
      <c r="D28" s="285"/>
      <c r="E28" s="121"/>
      <c r="F28" s="121"/>
      <c r="G28" s="122"/>
      <c r="H28" s="122"/>
      <c r="I28" s="122"/>
      <c r="J28" s="38" t="s">
        <v>756</v>
      </c>
    </row>
    <row r="29" spans="2:10" x14ac:dyDescent="0.2">
      <c r="B29" s="1137">
        <v>9</v>
      </c>
      <c r="C29" s="351" t="s">
        <v>45</v>
      </c>
      <c r="D29" s="285"/>
      <c r="E29" s="121"/>
      <c r="F29" s="121"/>
      <c r="G29" s="122"/>
      <c r="H29" s="122"/>
      <c r="I29" s="122"/>
      <c r="J29" s="38" t="s">
        <v>45</v>
      </c>
    </row>
    <row r="30" spans="2:10" x14ac:dyDescent="0.2">
      <c r="B30" s="1137">
        <v>10</v>
      </c>
      <c r="C30" s="351"/>
      <c r="D30" s="285"/>
      <c r="E30" s="121"/>
      <c r="F30" s="121"/>
      <c r="G30" s="122"/>
      <c r="H30" s="122"/>
      <c r="I30" s="122"/>
      <c r="J30" s="38"/>
    </row>
    <row r="31" spans="2:10" x14ac:dyDescent="0.2">
      <c r="B31" s="1137">
        <v>11</v>
      </c>
      <c r="C31" s="351"/>
      <c r="D31" s="285"/>
      <c r="E31" s="121"/>
      <c r="F31" s="121"/>
      <c r="G31" s="122"/>
      <c r="H31" s="122"/>
      <c r="I31" s="122"/>
      <c r="J31" s="38"/>
    </row>
    <row r="32" spans="2:10" x14ac:dyDescent="0.2">
      <c r="B32" s="1137">
        <v>12</v>
      </c>
      <c r="C32" s="351"/>
      <c r="D32" s="285"/>
      <c r="E32" s="121"/>
      <c r="F32" s="121"/>
      <c r="G32" s="122"/>
      <c r="H32" s="122"/>
      <c r="I32" s="122"/>
      <c r="J32" s="38"/>
    </row>
    <row r="33" spans="2:10" x14ac:dyDescent="0.2">
      <c r="B33" s="1137">
        <v>13</v>
      </c>
      <c r="C33" s="351"/>
      <c r="D33" s="285"/>
      <c r="E33" s="121"/>
      <c r="F33" s="121"/>
      <c r="G33" s="122"/>
      <c r="H33" s="122"/>
      <c r="I33" s="122"/>
      <c r="J33" s="38"/>
    </row>
    <row r="34" spans="2:10" x14ac:dyDescent="0.2">
      <c r="B34" s="1137">
        <v>14</v>
      </c>
      <c r="C34" s="351"/>
      <c r="D34" s="285"/>
      <c r="E34" s="121"/>
      <c r="F34" s="121"/>
      <c r="G34" s="122"/>
      <c r="H34" s="122"/>
      <c r="I34" s="122"/>
      <c r="J34" s="38"/>
    </row>
    <row r="35" spans="2:10" x14ac:dyDescent="0.2">
      <c r="B35" s="1139">
        <v>15</v>
      </c>
      <c r="C35" s="351"/>
      <c r="D35" s="290"/>
      <c r="E35" s="123"/>
      <c r="F35" s="123"/>
      <c r="G35" s="124"/>
      <c r="H35" s="124"/>
      <c r="I35" s="124"/>
      <c r="J35" s="41"/>
    </row>
    <row r="36" spans="2:10" s="11" customFormat="1" ht="19" x14ac:dyDescent="0.25">
      <c r="B36" s="1140"/>
      <c r="C36" s="1085" t="s">
        <v>209</v>
      </c>
      <c r="D36" s="1086">
        <f t="shared" ref="D36:I36" si="0">SUM(D21:D35)</f>
        <v>13.5</v>
      </c>
      <c r="E36" s="128">
        <f t="shared" si="0"/>
        <v>10.5</v>
      </c>
      <c r="F36" s="128">
        <f t="shared" si="0"/>
        <v>24</v>
      </c>
      <c r="G36" s="129">
        <f t="shared" si="0"/>
        <v>9</v>
      </c>
      <c r="H36" s="129">
        <f t="shared" si="0"/>
        <v>10.5</v>
      </c>
      <c r="I36" s="129">
        <f t="shared" si="0"/>
        <v>1.5</v>
      </c>
      <c r="J36" s="44"/>
    </row>
    <row r="37" spans="2:10" s="11" customFormat="1" ht="6" customHeight="1" x14ac:dyDescent="0.25">
      <c r="C37" s="46"/>
      <c r="D37" s="125"/>
      <c r="E37" s="125"/>
      <c r="F37" s="125"/>
      <c r="G37" s="125"/>
      <c r="H37" s="125"/>
      <c r="I37" s="125"/>
      <c r="J37" s="47"/>
    </row>
    <row r="38" spans="2:10" s="1" customFormat="1" x14ac:dyDescent="0.2">
      <c r="B38" s="1141"/>
      <c r="C38" s="1087" t="s">
        <v>275</v>
      </c>
      <c r="D38" s="382" t="s">
        <v>196</v>
      </c>
      <c r="E38" s="50" t="s">
        <v>43</v>
      </c>
      <c r="F38" s="50" t="s">
        <v>197</v>
      </c>
      <c r="G38" s="51" t="s">
        <v>196</v>
      </c>
      <c r="H38" s="51" t="s">
        <v>198</v>
      </c>
      <c r="I38" s="51" t="s">
        <v>197</v>
      </c>
      <c r="J38" s="52" t="s">
        <v>199</v>
      </c>
    </row>
    <row r="39" spans="2:10" ht="16.25" customHeight="1" x14ac:dyDescent="0.2">
      <c r="B39" s="1137">
        <v>1</v>
      </c>
      <c r="C39" s="351" t="s">
        <v>757</v>
      </c>
      <c r="D39" s="285"/>
      <c r="E39" s="121"/>
      <c r="F39" s="121">
        <v>6</v>
      </c>
      <c r="G39" s="126"/>
      <c r="H39" s="126"/>
      <c r="I39" s="126"/>
      <c r="J39" s="38" t="s">
        <v>758</v>
      </c>
    </row>
    <row r="40" spans="2:10" x14ac:dyDescent="0.2">
      <c r="B40" s="1137">
        <v>2</v>
      </c>
      <c r="C40" s="351" t="s">
        <v>759</v>
      </c>
      <c r="D40" s="285"/>
      <c r="E40" s="121">
        <v>3</v>
      </c>
      <c r="F40" s="121"/>
      <c r="G40" s="126"/>
      <c r="H40" s="126">
        <v>3</v>
      </c>
      <c r="I40" s="126"/>
      <c r="J40" s="38" t="s">
        <v>760</v>
      </c>
    </row>
    <row r="41" spans="2:10" x14ac:dyDescent="0.2">
      <c r="B41" s="1137">
        <v>3</v>
      </c>
      <c r="C41" s="351" t="s">
        <v>761</v>
      </c>
      <c r="D41" s="285"/>
      <c r="E41" s="121">
        <v>1.5</v>
      </c>
      <c r="F41" s="121"/>
      <c r="G41" s="126"/>
      <c r="H41" s="126">
        <v>1.5</v>
      </c>
      <c r="I41" s="126"/>
      <c r="J41" s="38" t="s">
        <v>762</v>
      </c>
    </row>
    <row r="42" spans="2:10" x14ac:dyDescent="0.2">
      <c r="B42" s="1139">
        <v>4</v>
      </c>
      <c r="C42" s="351"/>
      <c r="D42" s="290"/>
      <c r="E42" s="123"/>
      <c r="F42" s="123"/>
      <c r="G42" s="127"/>
      <c r="H42" s="127"/>
      <c r="I42" s="127"/>
      <c r="J42" s="41"/>
    </row>
    <row r="43" spans="2:10" s="11" customFormat="1" ht="19" x14ac:dyDescent="0.25">
      <c r="B43" s="1140"/>
      <c r="C43" s="1085" t="s">
        <v>214</v>
      </c>
      <c r="D43" s="1086">
        <f>SUM(D39:D42)</f>
        <v>0</v>
      </c>
      <c r="E43" s="128">
        <f t="shared" ref="E43:F43" si="1">SUM(E39:E42)</f>
        <v>4.5</v>
      </c>
      <c r="F43" s="128">
        <f t="shared" si="1"/>
        <v>6</v>
      </c>
      <c r="G43" s="129">
        <f>SUM(G39:G42)</f>
        <v>0</v>
      </c>
      <c r="H43" s="129">
        <f t="shared" ref="H43:I43" si="2">SUM(H39:H42)</f>
        <v>4.5</v>
      </c>
      <c r="I43" s="129">
        <f t="shared" si="2"/>
        <v>0</v>
      </c>
      <c r="J43" s="53">
        <f>SUM(D43:I43)</f>
        <v>15</v>
      </c>
    </row>
    <row r="44" spans="2:10" ht="6" customHeight="1" x14ac:dyDescent="0.2"/>
    <row r="45" spans="2:10" s="54" customFormat="1" ht="19" x14ac:dyDescent="0.25">
      <c r="B45" s="229" t="s">
        <v>215</v>
      </c>
      <c r="D45" s="72"/>
      <c r="E45" s="72" t="s">
        <v>182</v>
      </c>
      <c r="F45" s="72"/>
      <c r="G45" s="55"/>
      <c r="H45" s="55" t="s">
        <v>186</v>
      </c>
      <c r="I45" s="55"/>
      <c r="J45" s="56" t="s">
        <v>216</v>
      </c>
    </row>
    <row r="46" spans="2:10" s="57" customFormat="1" ht="19" x14ac:dyDescent="0.25">
      <c r="B46" s="231">
        <f t="shared" ref="B46:B48" si="3">SUM(E46:H46)</f>
        <v>63</v>
      </c>
      <c r="D46" s="58" t="s">
        <v>217</v>
      </c>
      <c r="E46" s="224">
        <f>($D$4*12)-D36-E36-F36</f>
        <v>18</v>
      </c>
      <c r="H46" s="111">
        <f>($D$7*12)-G36-H36-I36</f>
        <v>45</v>
      </c>
      <c r="J46" s="1185" t="s">
        <v>386</v>
      </c>
    </row>
    <row r="47" spans="2:10" s="57" customFormat="1" ht="19" x14ac:dyDescent="0.25">
      <c r="B47" s="231">
        <f t="shared" si="3"/>
        <v>46.5</v>
      </c>
      <c r="C47" s="58"/>
      <c r="D47" s="58" t="s">
        <v>218</v>
      </c>
      <c r="E47" s="224">
        <f>+E36+F36</f>
        <v>34.5</v>
      </c>
      <c r="H47" s="111">
        <f>+H36+I36</f>
        <v>12</v>
      </c>
      <c r="J47" s="1185"/>
    </row>
    <row r="48" spans="2:10" s="57" customFormat="1" ht="19" x14ac:dyDescent="0.25">
      <c r="B48" s="231">
        <f t="shared" si="3"/>
        <v>157.64150943396226</v>
      </c>
      <c r="C48" s="58"/>
      <c r="D48" s="58" t="s">
        <v>219</v>
      </c>
      <c r="E48" s="224">
        <f>(($D$6-$D$4)*15)-D43</f>
        <v>86.886792452830193</v>
      </c>
      <c r="H48" s="111">
        <f>(($D$9-$D$7)*15)-$G$44</f>
        <v>70.754716981132063</v>
      </c>
      <c r="J48" s="1185"/>
    </row>
    <row r="49" spans="1:19" s="57" customFormat="1" ht="19" x14ac:dyDescent="0.25">
      <c r="B49" s="230">
        <f>SUM(E49:H49)</f>
        <v>267.14150943396226</v>
      </c>
      <c r="C49" s="59"/>
      <c r="D49" s="59" t="s">
        <v>220</v>
      </c>
      <c r="E49" s="106">
        <f>SUM(E46:E48)</f>
        <v>139.38679245283021</v>
      </c>
      <c r="H49" s="112">
        <f>SUM(H46:H48)</f>
        <v>127.75471698113206</v>
      </c>
      <c r="J49" s="1185"/>
    </row>
    <row r="50" spans="1:19" s="60" customFormat="1" ht="21" thickTop="1" thickBot="1" x14ac:dyDescent="0.3">
      <c r="C50" s="61"/>
      <c r="D50" s="62" t="s">
        <v>221</v>
      </c>
      <c r="E50" s="107"/>
      <c r="H50" s="113">
        <f>-E50</f>
        <v>0</v>
      </c>
      <c r="J50" s="1185"/>
    </row>
    <row r="51" spans="1:19" s="57" customFormat="1" ht="20" thickBot="1" x14ac:dyDescent="0.3">
      <c r="D51" s="63" t="s">
        <v>222</v>
      </c>
      <c r="E51" s="108">
        <f>SUM(E49:E50)</f>
        <v>139.38679245283021</v>
      </c>
      <c r="G51" s="63"/>
      <c r="H51" s="114">
        <f>SUM(H49:H50)</f>
        <v>127.75471698113206</v>
      </c>
      <c r="I51" s="64"/>
      <c r="J51" s="1185"/>
    </row>
    <row r="52" spans="1:19" s="57" customFormat="1" ht="19" x14ac:dyDescent="0.25">
      <c r="D52" s="201" t="s">
        <v>278</v>
      </c>
      <c r="E52" s="202">
        <v>142</v>
      </c>
      <c r="F52" s="383" t="s">
        <v>224</v>
      </c>
      <c r="G52" s="204"/>
      <c r="H52" s="115"/>
      <c r="I52" s="66"/>
      <c r="J52" s="1185"/>
    </row>
    <row r="53" spans="1:19" s="57" customFormat="1" ht="19" x14ac:dyDescent="0.25">
      <c r="D53" s="71" t="s">
        <v>225</v>
      </c>
      <c r="E53" s="109">
        <f>E52-E51</f>
        <v>2.6132075471697931</v>
      </c>
      <c r="G53" s="65"/>
      <c r="H53" s="116">
        <f>H52-H51</f>
        <v>-127.75471698113206</v>
      </c>
      <c r="I53" s="66"/>
      <c r="J53" s="1185"/>
    </row>
    <row r="54" spans="1:19" s="57" customFormat="1" ht="20" thickBot="1" x14ac:dyDescent="0.3">
      <c r="D54" s="66" t="s">
        <v>226</v>
      </c>
      <c r="E54" s="105">
        <f>IFERROR(($D$5*5)/(E51/3),0)</f>
        <v>12.881421319796951</v>
      </c>
      <c r="H54" s="117">
        <f>IFERROR(5*$D$8/(H51/3),0)</f>
        <v>12.715773150199382</v>
      </c>
      <c r="J54" s="1186"/>
    </row>
    <row r="55" spans="1:19" x14ac:dyDescent="0.2">
      <c r="D55" t="s">
        <v>227</v>
      </c>
      <c r="E55" s="152">
        <f>E47+E48+D43+E43+F43+H47+H48+G43+H43+I43</f>
        <v>219.14150943396226</v>
      </c>
      <c r="F55" s="11" t="s">
        <v>228</v>
      </c>
    </row>
    <row r="56" spans="1:19" x14ac:dyDescent="0.2">
      <c r="E56" s="953">
        <f>E55*2507</f>
        <v>549387.76415094337</v>
      </c>
    </row>
    <row r="60" spans="1:19" x14ac:dyDescent="0.2">
      <c r="B60" t="s">
        <v>763</v>
      </c>
    </row>
    <row r="61" spans="1:19" ht="68" x14ac:dyDescent="0.25">
      <c r="A61" s="1132"/>
      <c r="B61" s="622" t="s">
        <v>279</v>
      </c>
      <c r="C61" s="1029" t="s">
        <v>230</v>
      </c>
      <c r="D61" s="1042" t="s">
        <v>231</v>
      </c>
      <c r="E61" s="1029" t="s">
        <v>232</v>
      </c>
      <c r="F61" s="1029" t="s">
        <v>233</v>
      </c>
      <c r="G61" s="1029" t="s">
        <v>234</v>
      </c>
      <c r="H61" s="1029" t="s">
        <v>235</v>
      </c>
      <c r="I61" s="1029" t="s">
        <v>236</v>
      </c>
      <c r="J61" s="1029" t="s">
        <v>238</v>
      </c>
      <c r="K61" s="1029" t="s">
        <v>239</v>
      </c>
      <c r="L61" s="1029" t="s">
        <v>240</v>
      </c>
      <c r="M61" s="1029" t="s">
        <v>764</v>
      </c>
      <c r="N61" s="1029" t="s">
        <v>765</v>
      </c>
      <c r="O61" s="1029" t="s">
        <v>241</v>
      </c>
      <c r="P61" s="1029" t="s">
        <v>242</v>
      </c>
      <c r="Q61" s="1029" t="s">
        <v>243</v>
      </c>
      <c r="R61" s="1031" t="s">
        <v>244</v>
      </c>
      <c r="S61" s="1029" t="s">
        <v>230</v>
      </c>
    </row>
    <row r="62" spans="1:19" ht="17" x14ac:dyDescent="0.25">
      <c r="A62" s="1127"/>
      <c r="B62" s="351"/>
      <c r="C62" s="1033" t="s">
        <v>766</v>
      </c>
      <c r="D62" s="1043" t="s">
        <v>251</v>
      </c>
      <c r="E62" s="1034">
        <v>5013</v>
      </c>
      <c r="F62" s="1035">
        <v>2005.2</v>
      </c>
      <c r="G62" s="1033" t="s">
        <v>487</v>
      </c>
      <c r="H62" s="1033" t="s">
        <v>248</v>
      </c>
      <c r="I62" s="1144">
        <v>3</v>
      </c>
      <c r="J62" s="1036" t="s">
        <v>59</v>
      </c>
      <c r="K62" s="1033">
        <v>21</v>
      </c>
      <c r="L62" s="1033">
        <v>12</v>
      </c>
      <c r="M62" s="1033">
        <v>12</v>
      </c>
      <c r="N62" s="1033" t="s">
        <v>767</v>
      </c>
      <c r="O62" s="1033" t="s">
        <v>59</v>
      </c>
      <c r="P62" s="1037" t="s">
        <v>59</v>
      </c>
      <c r="Q62" s="1044" t="s">
        <v>59</v>
      </c>
      <c r="R62" s="1039" t="s">
        <v>249</v>
      </c>
      <c r="S62" s="1033" t="s">
        <v>766</v>
      </c>
    </row>
    <row r="63" spans="1:19" ht="17" x14ac:dyDescent="0.25">
      <c r="A63" s="1127"/>
      <c r="B63" s="351"/>
      <c r="C63" s="1033" t="s">
        <v>768</v>
      </c>
      <c r="D63" s="1043" t="s">
        <v>246</v>
      </c>
      <c r="E63" s="1034">
        <v>6005</v>
      </c>
      <c r="F63" s="1035">
        <v>2402</v>
      </c>
      <c r="G63" s="1033" t="s">
        <v>482</v>
      </c>
      <c r="H63" s="1033" t="s">
        <v>248</v>
      </c>
      <c r="I63" s="1144">
        <v>3</v>
      </c>
      <c r="J63" s="1036" t="s">
        <v>59</v>
      </c>
      <c r="K63" s="1033">
        <v>21</v>
      </c>
      <c r="L63" s="1120">
        <v>6</v>
      </c>
      <c r="M63" s="1120">
        <v>6</v>
      </c>
      <c r="N63" s="1120" t="s">
        <v>59</v>
      </c>
      <c r="O63" s="1033" t="s">
        <v>59</v>
      </c>
      <c r="P63" s="1037" t="s">
        <v>59</v>
      </c>
      <c r="Q63" s="1038" t="s">
        <v>59</v>
      </c>
      <c r="R63" s="684" t="s">
        <v>249</v>
      </c>
      <c r="S63" s="1033" t="s">
        <v>768</v>
      </c>
    </row>
    <row r="64" spans="1:19" ht="17" x14ac:dyDescent="0.25">
      <c r="A64" s="1127"/>
      <c r="B64" s="351"/>
      <c r="C64" s="1033" t="s">
        <v>769</v>
      </c>
      <c r="D64" s="1043" t="s">
        <v>246</v>
      </c>
      <c r="E64" s="1034">
        <v>7858</v>
      </c>
      <c r="F64" s="1035">
        <v>3143.2</v>
      </c>
      <c r="G64" s="1033" t="s">
        <v>770</v>
      </c>
      <c r="H64" s="1033" t="s">
        <v>248</v>
      </c>
      <c r="I64" s="1144">
        <v>3</v>
      </c>
      <c r="J64" s="1036" t="s">
        <v>59</v>
      </c>
      <c r="K64" s="1033">
        <v>20</v>
      </c>
      <c r="L64" s="1145">
        <v>11</v>
      </c>
      <c r="M64" s="1145">
        <v>13</v>
      </c>
      <c r="N64" s="1033" t="s">
        <v>59</v>
      </c>
      <c r="O64" s="1033" t="s">
        <v>59</v>
      </c>
      <c r="P64" s="1037" t="s">
        <v>59</v>
      </c>
      <c r="Q64" s="1044" t="s">
        <v>59</v>
      </c>
      <c r="R64" s="684" t="s">
        <v>249</v>
      </c>
      <c r="S64" s="1033" t="s">
        <v>769</v>
      </c>
    </row>
    <row r="65" spans="1:19" s="1088" customFormat="1" ht="17" x14ac:dyDescent="0.25">
      <c r="A65" s="1127"/>
      <c r="B65" s="351"/>
      <c r="C65" s="1033" t="s">
        <v>771</v>
      </c>
      <c r="D65" s="1043" t="s">
        <v>251</v>
      </c>
      <c r="E65" s="1034">
        <v>5675</v>
      </c>
      <c r="F65" s="1035">
        <v>2270</v>
      </c>
      <c r="G65" s="1033" t="s">
        <v>487</v>
      </c>
      <c r="H65" s="1033" t="s">
        <v>248</v>
      </c>
      <c r="I65" s="1144">
        <v>3</v>
      </c>
      <c r="J65" s="1036" t="s">
        <v>59</v>
      </c>
      <c r="K65" s="1033">
        <v>12</v>
      </c>
      <c r="L65" s="1033" t="s">
        <v>59</v>
      </c>
      <c r="M65" s="1033" t="s">
        <v>59</v>
      </c>
      <c r="N65" s="1033" t="s">
        <v>59</v>
      </c>
      <c r="O65" s="1033" t="s">
        <v>59</v>
      </c>
      <c r="P65" s="1037" t="s">
        <v>59</v>
      </c>
      <c r="Q65" s="1038" t="s">
        <v>59</v>
      </c>
      <c r="R65" s="684" t="s">
        <v>249</v>
      </c>
      <c r="S65" s="1033" t="s">
        <v>771</v>
      </c>
    </row>
    <row r="66" spans="1:19" ht="17" x14ac:dyDescent="0.25">
      <c r="A66" s="1127"/>
      <c r="B66" s="351"/>
      <c r="C66" s="1033" t="s">
        <v>772</v>
      </c>
      <c r="D66" s="1043" t="s">
        <v>287</v>
      </c>
      <c r="E66" s="1034">
        <v>5810</v>
      </c>
      <c r="F66" s="1035">
        <v>2324</v>
      </c>
      <c r="G66" s="1033" t="s">
        <v>487</v>
      </c>
      <c r="H66" s="1033" t="s">
        <v>248</v>
      </c>
      <c r="I66" s="1144">
        <v>3</v>
      </c>
      <c r="J66" s="1036" t="s">
        <v>602</v>
      </c>
      <c r="K66" s="1033">
        <v>8</v>
      </c>
      <c r="L66" s="1033">
        <v>5</v>
      </c>
      <c r="M66" s="1033">
        <v>5</v>
      </c>
      <c r="N66" s="1033" t="s">
        <v>773</v>
      </c>
      <c r="O66" s="1033" t="s">
        <v>59</v>
      </c>
      <c r="P66" s="1037" t="s">
        <v>59</v>
      </c>
      <c r="Q66" s="1038" t="s">
        <v>59</v>
      </c>
      <c r="R66" s="684" t="s">
        <v>249</v>
      </c>
      <c r="S66" s="1033" t="s">
        <v>772</v>
      </c>
    </row>
    <row r="67" spans="1:19" ht="17" x14ac:dyDescent="0.25">
      <c r="A67" s="1127"/>
      <c r="B67" s="351"/>
      <c r="C67" s="1033" t="s">
        <v>774</v>
      </c>
      <c r="D67" s="1043" t="s">
        <v>300</v>
      </c>
      <c r="E67" s="1034">
        <v>5960</v>
      </c>
      <c r="F67" s="1035">
        <v>2384</v>
      </c>
      <c r="G67" s="1033" t="s">
        <v>482</v>
      </c>
      <c r="H67" s="1033" t="s">
        <v>248</v>
      </c>
      <c r="I67" s="1033" t="s">
        <v>301</v>
      </c>
      <c r="J67" s="1036" t="s">
        <v>59</v>
      </c>
      <c r="K67" s="1033">
        <v>14</v>
      </c>
      <c r="L67" s="1113">
        <v>12</v>
      </c>
      <c r="M67" s="1113">
        <v>16</v>
      </c>
      <c r="N67" s="1033" t="s">
        <v>59</v>
      </c>
      <c r="O67" s="1033" t="s">
        <v>59</v>
      </c>
      <c r="P67" s="1037" t="s">
        <v>59</v>
      </c>
      <c r="Q67" s="1038" t="s">
        <v>59</v>
      </c>
      <c r="R67" s="684" t="s">
        <v>424</v>
      </c>
      <c r="S67" s="1033" t="s">
        <v>774</v>
      </c>
    </row>
    <row r="68" spans="1:19" ht="17" x14ac:dyDescent="0.25">
      <c r="A68" s="1127"/>
      <c r="B68" s="351"/>
      <c r="C68" s="1033" t="s">
        <v>775</v>
      </c>
      <c r="D68" s="1043" t="s">
        <v>300</v>
      </c>
      <c r="E68" s="1034">
        <v>5298</v>
      </c>
      <c r="F68" s="1035">
        <v>2119.1999999999998</v>
      </c>
      <c r="G68" s="1033" t="s">
        <v>487</v>
      </c>
      <c r="H68" s="1033" t="s">
        <v>248</v>
      </c>
      <c r="I68" s="1033" t="s">
        <v>301</v>
      </c>
      <c r="J68" s="1036" t="s">
        <v>59</v>
      </c>
      <c r="K68" s="1033">
        <v>14</v>
      </c>
      <c r="L68" s="1113">
        <v>6</v>
      </c>
      <c r="M68" s="1113">
        <v>8</v>
      </c>
      <c r="N68" s="1033" t="s">
        <v>59</v>
      </c>
      <c r="O68" s="1033" t="s">
        <v>59</v>
      </c>
      <c r="P68" s="1037" t="s">
        <v>59</v>
      </c>
      <c r="Q68" s="1044" t="s">
        <v>59</v>
      </c>
      <c r="R68" s="684" t="s">
        <v>606</v>
      </c>
      <c r="S68" s="1033" t="s">
        <v>775</v>
      </c>
    </row>
    <row r="69" spans="1:19" ht="15" customHeight="1" x14ac:dyDescent="0.25">
      <c r="A69" s="1127"/>
      <c r="B69" s="351"/>
      <c r="C69" s="1033" t="s">
        <v>776</v>
      </c>
      <c r="D69" s="1043" t="s">
        <v>300</v>
      </c>
      <c r="E69" s="1034">
        <v>5335</v>
      </c>
      <c r="F69" s="1035">
        <v>2134</v>
      </c>
      <c r="G69" s="1033" t="s">
        <v>487</v>
      </c>
      <c r="H69" s="1033" t="s">
        <v>248</v>
      </c>
      <c r="I69" s="1033" t="s">
        <v>301</v>
      </c>
      <c r="J69" s="1036" t="s">
        <v>59</v>
      </c>
      <c r="K69" s="1033">
        <v>12</v>
      </c>
      <c r="L69" s="1113">
        <v>6</v>
      </c>
      <c r="M69" s="1113">
        <v>8</v>
      </c>
      <c r="N69" s="1033" t="s">
        <v>59</v>
      </c>
      <c r="O69" s="1033" t="s">
        <v>59</v>
      </c>
      <c r="P69" s="1037" t="s">
        <v>59</v>
      </c>
      <c r="Q69" s="1044" t="s">
        <v>59</v>
      </c>
      <c r="R69" s="684" t="s">
        <v>777</v>
      </c>
      <c r="S69" s="1033" t="s">
        <v>776</v>
      </c>
    </row>
    <row r="70" spans="1:19" ht="15" customHeight="1" x14ac:dyDescent="0.25">
      <c r="A70" s="1133"/>
      <c r="B70" s="351"/>
      <c r="C70" s="1033" t="s">
        <v>778</v>
      </c>
      <c r="D70" s="1043" t="s">
        <v>300</v>
      </c>
      <c r="E70" s="1034">
        <v>6356</v>
      </c>
      <c r="F70" s="1035">
        <v>2542.4</v>
      </c>
      <c r="G70" s="1033" t="s">
        <v>482</v>
      </c>
      <c r="H70" s="1033" t="s">
        <v>248</v>
      </c>
      <c r="I70" s="1033" t="s">
        <v>301</v>
      </c>
      <c r="J70" s="1036" t="s">
        <v>59</v>
      </c>
      <c r="K70" s="1033">
        <v>12</v>
      </c>
      <c r="L70" s="1033">
        <v>8</v>
      </c>
      <c r="M70" s="1033">
        <v>8</v>
      </c>
      <c r="N70" s="1033" t="s">
        <v>767</v>
      </c>
      <c r="O70" s="1033" t="s">
        <v>59</v>
      </c>
      <c r="P70" s="1037" t="s">
        <v>59</v>
      </c>
      <c r="Q70" s="1038" t="s">
        <v>59</v>
      </c>
      <c r="R70" s="684" t="s">
        <v>307</v>
      </c>
      <c r="S70" s="1033" t="s">
        <v>778</v>
      </c>
    </row>
    <row r="71" spans="1:19" ht="17" x14ac:dyDescent="0.25">
      <c r="A71" s="1127"/>
      <c r="B71" s="351"/>
      <c r="C71" s="1033" t="s">
        <v>779</v>
      </c>
      <c r="D71" s="1043" t="s">
        <v>300</v>
      </c>
      <c r="E71" s="1034">
        <v>5925</v>
      </c>
      <c r="F71" s="1035">
        <v>2370</v>
      </c>
      <c r="G71" s="1033" t="s">
        <v>482</v>
      </c>
      <c r="H71" s="1033" t="s">
        <v>248</v>
      </c>
      <c r="I71" s="1033" t="s">
        <v>301</v>
      </c>
      <c r="J71" s="1036" t="s">
        <v>59</v>
      </c>
      <c r="K71" s="1033">
        <v>11</v>
      </c>
      <c r="L71" s="1033">
        <v>9</v>
      </c>
      <c r="M71" s="1033">
        <v>9</v>
      </c>
      <c r="N71" s="1033" t="s">
        <v>773</v>
      </c>
      <c r="O71" s="1033" t="s">
        <v>59</v>
      </c>
      <c r="P71" s="1037" t="s">
        <v>59</v>
      </c>
      <c r="Q71" s="1044" t="s">
        <v>59</v>
      </c>
      <c r="R71" s="684" t="s">
        <v>313</v>
      </c>
      <c r="S71" s="1033" t="s">
        <v>779</v>
      </c>
    </row>
    <row r="72" spans="1:19" s="1088" customFormat="1" ht="17" x14ac:dyDescent="0.25">
      <c r="A72" s="1127"/>
      <c r="B72" s="351"/>
      <c r="C72" s="1033" t="s">
        <v>780</v>
      </c>
      <c r="D72" s="1043" t="s">
        <v>300</v>
      </c>
      <c r="E72" s="1034">
        <v>6915</v>
      </c>
      <c r="F72" s="1035">
        <v>2766</v>
      </c>
      <c r="G72" s="1033" t="s">
        <v>770</v>
      </c>
      <c r="H72" s="1033" t="s">
        <v>248</v>
      </c>
      <c r="I72" s="1033" t="s">
        <v>301</v>
      </c>
      <c r="J72" s="1036" t="s">
        <v>59</v>
      </c>
      <c r="K72" s="1033">
        <v>10</v>
      </c>
      <c r="L72" s="1033" t="s">
        <v>59</v>
      </c>
      <c r="M72" s="1033" t="s">
        <v>59</v>
      </c>
      <c r="N72" s="1033" t="s">
        <v>59</v>
      </c>
      <c r="O72" s="1033" t="s">
        <v>59</v>
      </c>
      <c r="P72" s="1037" t="s">
        <v>59</v>
      </c>
      <c r="Q72" s="1044" t="s">
        <v>59</v>
      </c>
      <c r="R72" s="684" t="s">
        <v>307</v>
      </c>
      <c r="S72" s="1033" t="s">
        <v>780</v>
      </c>
    </row>
    <row r="73" spans="1:19" ht="17" x14ac:dyDescent="0.25">
      <c r="A73" s="1133"/>
      <c r="B73" s="351"/>
      <c r="C73" s="1043" t="s">
        <v>757</v>
      </c>
      <c r="D73" s="1121" t="s">
        <v>300</v>
      </c>
      <c r="E73" s="1034">
        <v>5925</v>
      </c>
      <c r="F73" s="1035">
        <v>2370</v>
      </c>
      <c r="G73" s="1033" t="s">
        <v>482</v>
      </c>
      <c r="H73" s="1033" t="s">
        <v>248</v>
      </c>
      <c r="I73" s="1033" t="s">
        <v>301</v>
      </c>
      <c r="J73" s="1122" t="s">
        <v>59</v>
      </c>
      <c r="K73" s="1033">
        <v>18</v>
      </c>
      <c r="L73" s="1113">
        <v>11</v>
      </c>
      <c r="M73" s="1113">
        <v>5</v>
      </c>
      <c r="N73" s="1033" t="s">
        <v>59</v>
      </c>
      <c r="O73" s="1033" t="s">
        <v>59</v>
      </c>
      <c r="P73" s="1037" t="s">
        <v>59</v>
      </c>
      <c r="Q73" s="1038" t="s">
        <v>59</v>
      </c>
      <c r="R73" s="1123" t="s">
        <v>307</v>
      </c>
      <c r="S73" s="1043" t="s">
        <v>757</v>
      </c>
    </row>
    <row r="74" spans="1:19" ht="17" x14ac:dyDescent="0.25">
      <c r="A74" s="1127"/>
      <c r="B74" s="351"/>
      <c r="C74" s="1033" t="s">
        <v>781</v>
      </c>
      <c r="D74" s="1043" t="s">
        <v>310</v>
      </c>
      <c r="E74" s="1034">
        <v>9337</v>
      </c>
      <c r="F74" s="1035">
        <v>3734.8</v>
      </c>
      <c r="G74" s="1033" t="s">
        <v>782</v>
      </c>
      <c r="H74" s="1033" t="s">
        <v>248</v>
      </c>
      <c r="I74" s="1033" t="s">
        <v>311</v>
      </c>
      <c r="J74" s="1106" t="s">
        <v>59</v>
      </c>
      <c r="K74" s="1033" t="s">
        <v>59</v>
      </c>
      <c r="L74" s="1033" t="s">
        <v>59</v>
      </c>
      <c r="M74" s="1033" t="s">
        <v>59</v>
      </c>
      <c r="N74" s="1033" t="s">
        <v>59</v>
      </c>
      <c r="O74" s="1033" t="s">
        <v>59</v>
      </c>
      <c r="P74" s="1037" t="s">
        <v>59</v>
      </c>
      <c r="Q74" s="1044" t="s">
        <v>59</v>
      </c>
      <c r="R74" s="684" t="s">
        <v>304</v>
      </c>
      <c r="S74" s="1033" t="s">
        <v>781</v>
      </c>
    </row>
    <row r="75" spans="1:19" ht="17" x14ac:dyDescent="0.25">
      <c r="A75" s="1127"/>
      <c r="B75" s="351"/>
      <c r="C75" s="1033" t="s">
        <v>783</v>
      </c>
      <c r="D75" s="1043" t="s">
        <v>310</v>
      </c>
      <c r="E75" s="1034">
        <v>5298</v>
      </c>
      <c r="F75" s="1035">
        <v>2119.1999999999998</v>
      </c>
      <c r="G75" s="1033" t="s">
        <v>487</v>
      </c>
      <c r="H75" s="1033" t="s">
        <v>248</v>
      </c>
      <c r="I75" s="1033" t="s">
        <v>311</v>
      </c>
      <c r="J75" s="1124" t="s">
        <v>315</v>
      </c>
      <c r="K75" s="1033" t="s">
        <v>610</v>
      </c>
      <c r="L75" s="1033" t="s">
        <v>784</v>
      </c>
      <c r="M75" s="1033" t="s">
        <v>59</v>
      </c>
      <c r="N75" s="1033" t="s">
        <v>59</v>
      </c>
      <c r="O75" s="1033" t="s">
        <v>59</v>
      </c>
      <c r="P75" s="1037" t="s">
        <v>59</v>
      </c>
      <c r="Q75" s="1044" t="s">
        <v>59</v>
      </c>
      <c r="R75" s="684" t="s">
        <v>313</v>
      </c>
      <c r="S75" s="1033" t="s">
        <v>783</v>
      </c>
    </row>
    <row r="76" spans="1:19" ht="17" x14ac:dyDescent="0.25">
      <c r="A76" s="1127"/>
      <c r="B76" s="351"/>
      <c r="C76" s="1033" t="s">
        <v>785</v>
      </c>
      <c r="D76" s="1043" t="s">
        <v>310</v>
      </c>
      <c r="E76" s="1034">
        <v>6356</v>
      </c>
      <c r="F76" s="1035">
        <v>2542.4</v>
      </c>
      <c r="G76" s="1033" t="s">
        <v>482</v>
      </c>
      <c r="H76" s="1033" t="s">
        <v>248</v>
      </c>
      <c r="I76" s="1033" t="s">
        <v>311</v>
      </c>
      <c r="J76" s="681" t="s">
        <v>786</v>
      </c>
      <c r="K76" s="1033" t="s">
        <v>610</v>
      </c>
      <c r="L76" s="1033" t="s">
        <v>59</v>
      </c>
      <c r="M76" s="1033" t="s">
        <v>59</v>
      </c>
      <c r="N76" s="1033" t="s">
        <v>59</v>
      </c>
      <c r="O76" s="1033" t="s">
        <v>59</v>
      </c>
      <c r="P76" s="1037" t="s">
        <v>59</v>
      </c>
      <c r="Q76" s="1044" t="s">
        <v>59</v>
      </c>
      <c r="R76" s="684" t="s">
        <v>313</v>
      </c>
      <c r="S76" s="1033" t="s">
        <v>785</v>
      </c>
    </row>
    <row r="77" spans="1:19" ht="17" x14ac:dyDescent="0.25">
      <c r="A77" s="1127"/>
      <c r="B77" s="351"/>
      <c r="C77" s="1033" t="s">
        <v>787</v>
      </c>
      <c r="D77" s="1043" t="s">
        <v>310</v>
      </c>
      <c r="E77" s="1034">
        <v>5585</v>
      </c>
      <c r="F77" s="1035">
        <v>2234</v>
      </c>
      <c r="G77" s="1033" t="s">
        <v>487</v>
      </c>
      <c r="H77" s="1033" t="s">
        <v>248</v>
      </c>
      <c r="I77" s="1033" t="s">
        <v>311</v>
      </c>
      <c r="J77" s="681" t="s">
        <v>786</v>
      </c>
      <c r="K77" s="1033" t="s">
        <v>59</v>
      </c>
      <c r="L77" s="1033" t="s">
        <v>59</v>
      </c>
      <c r="M77" s="1033" t="s">
        <v>59</v>
      </c>
      <c r="N77" s="1033" t="s">
        <v>59</v>
      </c>
      <c r="O77" s="1033" t="s">
        <v>59</v>
      </c>
      <c r="P77" s="1037" t="s">
        <v>59</v>
      </c>
      <c r="Q77" s="1038" t="s">
        <v>59</v>
      </c>
      <c r="R77" s="684" t="s">
        <v>313</v>
      </c>
      <c r="S77" s="1033" t="s">
        <v>787</v>
      </c>
    </row>
    <row r="78" spans="1:19" ht="17" x14ac:dyDescent="0.25">
      <c r="A78" s="1127"/>
      <c r="B78" s="351"/>
      <c r="C78" s="1033" t="s">
        <v>788</v>
      </c>
      <c r="D78" s="1043" t="s">
        <v>310</v>
      </c>
      <c r="E78" s="1034">
        <v>5040</v>
      </c>
      <c r="F78" s="1035">
        <v>2016</v>
      </c>
      <c r="G78" s="1033" t="s">
        <v>487</v>
      </c>
      <c r="H78" s="1033" t="s">
        <v>248</v>
      </c>
      <c r="I78" s="1033" t="s">
        <v>311</v>
      </c>
      <c r="J78" s="681" t="s">
        <v>786</v>
      </c>
      <c r="K78" s="1033" t="s">
        <v>59</v>
      </c>
      <c r="L78" s="1147">
        <v>6</v>
      </c>
      <c r="M78" s="1147">
        <v>6</v>
      </c>
      <c r="N78" s="1147" t="s">
        <v>59</v>
      </c>
      <c r="O78" s="1033" t="s">
        <v>59</v>
      </c>
      <c r="P78" s="1037" t="s">
        <v>59</v>
      </c>
      <c r="Q78" s="1044" t="s">
        <v>59</v>
      </c>
      <c r="R78" s="684" t="s">
        <v>613</v>
      </c>
      <c r="S78" s="1033" t="s">
        <v>788</v>
      </c>
    </row>
    <row r="79" spans="1:19" ht="17" x14ac:dyDescent="0.25">
      <c r="A79" s="1127"/>
      <c r="B79" s="351"/>
      <c r="C79" s="1033" t="s">
        <v>789</v>
      </c>
      <c r="D79" s="1043" t="s">
        <v>310</v>
      </c>
      <c r="E79" s="1034">
        <v>5939</v>
      </c>
      <c r="F79" s="1035">
        <v>2375.6</v>
      </c>
      <c r="G79" s="1033" t="s">
        <v>482</v>
      </c>
      <c r="H79" s="1033" t="s">
        <v>248</v>
      </c>
      <c r="I79" s="1033" t="s">
        <v>311</v>
      </c>
      <c r="J79" s="681" t="s">
        <v>786</v>
      </c>
      <c r="K79" s="1033" t="s">
        <v>59</v>
      </c>
      <c r="L79" s="1033" t="s">
        <v>59</v>
      </c>
      <c r="M79" s="1033" t="s">
        <v>59</v>
      </c>
      <c r="N79" s="1033" t="s">
        <v>59</v>
      </c>
      <c r="O79" s="1033" t="s">
        <v>59</v>
      </c>
      <c r="P79" s="1037" t="s">
        <v>59</v>
      </c>
      <c r="Q79" s="1044" t="s">
        <v>59</v>
      </c>
      <c r="R79" s="684" t="s">
        <v>613</v>
      </c>
      <c r="S79" s="1033" t="s">
        <v>789</v>
      </c>
    </row>
    <row r="80" spans="1:19" ht="34" x14ac:dyDescent="0.25">
      <c r="A80" s="1133"/>
      <c r="B80" s="1143"/>
      <c r="C80" s="1033" t="s">
        <v>790</v>
      </c>
      <c r="D80" s="1043" t="s">
        <v>310</v>
      </c>
      <c r="E80" s="1034">
        <v>5013</v>
      </c>
      <c r="F80" s="1035">
        <v>2005.2</v>
      </c>
      <c r="G80" s="1033" t="s">
        <v>487</v>
      </c>
      <c r="H80" s="1033" t="s">
        <v>248</v>
      </c>
      <c r="I80" s="1033" t="s">
        <v>311</v>
      </c>
      <c r="J80" s="1036" t="s">
        <v>791</v>
      </c>
      <c r="K80" s="1033" t="s">
        <v>59</v>
      </c>
      <c r="L80" s="1033" t="s">
        <v>59</v>
      </c>
      <c r="M80" s="1033" t="s">
        <v>59</v>
      </c>
      <c r="N80" s="1033" t="s">
        <v>59</v>
      </c>
      <c r="O80" s="1033" t="s">
        <v>59</v>
      </c>
      <c r="P80" s="1037" t="s">
        <v>59</v>
      </c>
      <c r="Q80" s="1038" t="s">
        <v>59</v>
      </c>
      <c r="R80" s="1123" t="s">
        <v>617</v>
      </c>
      <c r="S80" s="1033" t="s">
        <v>790</v>
      </c>
    </row>
    <row r="81" spans="1:19" s="1156" customFormat="1" ht="34" x14ac:dyDescent="0.25">
      <c r="A81" s="1148"/>
      <c r="B81" s="1149"/>
      <c r="C81" s="1117" t="s">
        <v>792</v>
      </c>
      <c r="D81" s="1150" t="s">
        <v>310</v>
      </c>
      <c r="E81" s="1151">
        <v>5013</v>
      </c>
      <c r="F81" s="1152">
        <v>2005.2</v>
      </c>
      <c r="G81" s="1117" t="s">
        <v>487</v>
      </c>
      <c r="H81" s="1117" t="s">
        <v>248</v>
      </c>
      <c r="I81" s="1117" t="s">
        <v>311</v>
      </c>
      <c r="J81" s="1118" t="s">
        <v>791</v>
      </c>
      <c r="K81" s="1117" t="s">
        <v>59</v>
      </c>
      <c r="L81" s="1146">
        <v>6</v>
      </c>
      <c r="M81" s="1146">
        <v>6</v>
      </c>
      <c r="N81" s="1146" t="s">
        <v>59</v>
      </c>
      <c r="O81" s="1117" t="s">
        <v>59</v>
      </c>
      <c r="P81" s="1153" t="s">
        <v>59</v>
      </c>
      <c r="Q81" s="1154" t="s">
        <v>59</v>
      </c>
      <c r="R81" s="1155" t="s">
        <v>617</v>
      </c>
      <c r="S81" s="1117" t="s">
        <v>792</v>
      </c>
    </row>
    <row r="82" spans="1:19" ht="34" x14ac:dyDescent="0.25">
      <c r="A82" s="1133"/>
      <c r="B82" s="1039"/>
      <c r="C82" s="1043" t="s">
        <v>793</v>
      </c>
      <c r="D82" s="1043" t="s">
        <v>310</v>
      </c>
      <c r="E82" s="1034">
        <v>5298</v>
      </c>
      <c r="F82" s="1035">
        <v>2119.1999999999998</v>
      </c>
      <c r="G82" s="1033" t="s">
        <v>487</v>
      </c>
      <c r="H82" s="1033" t="s">
        <v>248</v>
      </c>
      <c r="I82" s="1033" t="s">
        <v>311</v>
      </c>
      <c r="J82" s="1122" t="s">
        <v>59</v>
      </c>
      <c r="K82" s="1033" t="s">
        <v>59</v>
      </c>
      <c r="L82" s="1146">
        <v>4</v>
      </c>
      <c r="M82" s="1146">
        <v>4</v>
      </c>
      <c r="N82" s="1146" t="s">
        <v>59</v>
      </c>
      <c r="O82" s="1033" t="s">
        <v>59</v>
      </c>
      <c r="P82" s="1037" t="s">
        <v>59</v>
      </c>
      <c r="Q82" s="1038" t="s">
        <v>59</v>
      </c>
      <c r="R82" s="1123" t="s">
        <v>617</v>
      </c>
      <c r="S82" s="1043" t="s">
        <v>793</v>
      </c>
    </row>
    <row r="83" spans="1:19" ht="17" x14ac:dyDescent="0.25">
      <c r="A83" s="1127"/>
      <c r="B83" s="1039"/>
      <c r="C83" s="1047" t="s">
        <v>794</v>
      </c>
      <c r="D83" s="1103" t="s">
        <v>310</v>
      </c>
      <c r="E83" s="1104">
        <v>5298</v>
      </c>
      <c r="F83" s="1105">
        <v>2119.1999999999998</v>
      </c>
      <c r="G83" s="1047" t="s">
        <v>487</v>
      </c>
      <c r="H83" s="1047" t="s">
        <v>248</v>
      </c>
      <c r="I83" s="1047" t="s">
        <v>59</v>
      </c>
      <c r="J83" s="1126" t="s">
        <v>795</v>
      </c>
      <c r="K83" s="1047" t="s">
        <v>610</v>
      </c>
      <c r="L83" s="1047" t="s">
        <v>784</v>
      </c>
      <c r="M83" s="1047" t="s">
        <v>59</v>
      </c>
      <c r="N83" s="1047" t="s">
        <v>59</v>
      </c>
      <c r="O83" s="1047" t="s">
        <v>59</v>
      </c>
      <c r="P83" s="1127" t="s">
        <v>59</v>
      </c>
      <c r="Q83" s="1128" t="s">
        <v>59</v>
      </c>
      <c r="R83" s="1129" t="s">
        <v>796</v>
      </c>
      <c r="S83" s="1047" t="s">
        <v>794</v>
      </c>
    </row>
    <row r="84" spans="1:19" ht="17" x14ac:dyDescent="0.25">
      <c r="A84" s="1127"/>
      <c r="B84" s="1039"/>
      <c r="C84" s="1049" t="s">
        <v>797</v>
      </c>
      <c r="D84" s="1109" t="s">
        <v>310</v>
      </c>
      <c r="E84" s="1110">
        <v>5925</v>
      </c>
      <c r="F84" s="1111">
        <v>2370</v>
      </c>
      <c r="G84" s="1049" t="s">
        <v>482</v>
      </c>
      <c r="H84" s="1112" t="s">
        <v>248</v>
      </c>
      <c r="I84" s="1049" t="s">
        <v>59</v>
      </c>
      <c r="J84" s="1114" t="s">
        <v>798</v>
      </c>
      <c r="K84" s="1049" t="s">
        <v>59</v>
      </c>
      <c r="L84" s="1157">
        <v>9</v>
      </c>
      <c r="M84" s="1157">
        <v>9</v>
      </c>
      <c r="N84" s="1157" t="s">
        <v>59</v>
      </c>
      <c r="O84" s="1049" t="s">
        <v>59</v>
      </c>
      <c r="P84" s="1049" t="s">
        <v>59</v>
      </c>
      <c r="Q84" s="1130" t="s">
        <v>59</v>
      </c>
      <c r="R84" s="1049" t="s">
        <v>59</v>
      </c>
      <c r="S84" s="1049" t="s">
        <v>797</v>
      </c>
    </row>
    <row r="85" spans="1:19" ht="17" x14ac:dyDescent="0.25">
      <c r="A85" s="1127"/>
      <c r="B85" s="1039"/>
      <c r="C85" s="1033" t="s">
        <v>656</v>
      </c>
      <c r="D85" s="1103" t="s">
        <v>59</v>
      </c>
      <c r="E85" s="1033" t="s">
        <v>59</v>
      </c>
      <c r="F85" s="1033" t="s">
        <v>59</v>
      </c>
      <c r="G85" s="1033" t="s">
        <v>59</v>
      </c>
      <c r="H85" s="1112" t="s">
        <v>59</v>
      </c>
      <c r="I85" s="1033" t="s">
        <v>59</v>
      </c>
      <c r="J85" s="1036" t="s">
        <v>59</v>
      </c>
      <c r="K85" s="1033" t="s">
        <v>59</v>
      </c>
      <c r="L85" s="1117">
        <v>9</v>
      </c>
      <c r="M85" s="1117" t="s">
        <v>59</v>
      </c>
      <c r="N85" s="1117" t="s">
        <v>59</v>
      </c>
      <c r="O85" s="1033" t="s">
        <v>59</v>
      </c>
      <c r="P85" s="1033" t="s">
        <v>59</v>
      </c>
      <c r="Q85" s="1121" t="s">
        <v>59</v>
      </c>
      <c r="R85" s="1033" t="s">
        <v>59</v>
      </c>
      <c r="S85" s="1033" t="s">
        <v>656</v>
      </c>
    </row>
    <row r="86" spans="1:19" ht="17" x14ac:dyDescent="0.25">
      <c r="A86" s="1127"/>
      <c r="B86" s="1039"/>
      <c r="C86" s="1033" t="s">
        <v>799</v>
      </c>
      <c r="D86" s="1131" t="s">
        <v>310</v>
      </c>
      <c r="E86" s="1034">
        <v>5925</v>
      </c>
      <c r="F86" s="1035">
        <v>2370</v>
      </c>
      <c r="G86" s="1033" t="s">
        <v>482</v>
      </c>
      <c r="H86" s="1112" t="s">
        <v>248</v>
      </c>
      <c r="I86" s="1033" t="s">
        <v>59</v>
      </c>
      <c r="J86" s="1036" t="s">
        <v>798</v>
      </c>
      <c r="K86" s="1033" t="s">
        <v>59</v>
      </c>
      <c r="L86" s="1146">
        <v>4</v>
      </c>
      <c r="M86" s="1146">
        <v>4</v>
      </c>
      <c r="N86" s="1146" t="s">
        <v>59</v>
      </c>
      <c r="O86" s="1033" t="s">
        <v>59</v>
      </c>
      <c r="P86" s="1033" t="s">
        <v>59</v>
      </c>
      <c r="Q86" s="1121" t="s">
        <v>59</v>
      </c>
      <c r="R86" s="1033" t="s">
        <v>59</v>
      </c>
      <c r="S86" s="1033" t="s">
        <v>799</v>
      </c>
    </row>
    <row r="87" spans="1:19" ht="17" x14ac:dyDescent="0.25">
      <c r="A87" s="1127"/>
      <c r="B87" s="1039"/>
      <c r="C87" s="1033" t="s">
        <v>800</v>
      </c>
      <c r="D87" s="1109" t="s">
        <v>310</v>
      </c>
      <c r="E87" s="1034">
        <v>6053</v>
      </c>
      <c r="F87" s="1035">
        <v>2421.1999999999998</v>
      </c>
      <c r="G87" s="1033" t="s">
        <v>482</v>
      </c>
      <c r="H87" s="1112" t="s">
        <v>248</v>
      </c>
      <c r="I87" s="1033" t="s">
        <v>59</v>
      </c>
      <c r="J87" s="1036" t="s">
        <v>798</v>
      </c>
      <c r="K87" s="1033" t="s">
        <v>59</v>
      </c>
      <c r="L87" s="1145">
        <v>12</v>
      </c>
      <c r="M87" s="1145">
        <v>14</v>
      </c>
      <c r="N87" s="1033" t="s">
        <v>59</v>
      </c>
      <c r="O87" s="1033" t="s">
        <v>59</v>
      </c>
      <c r="P87" s="1033" t="s">
        <v>59</v>
      </c>
      <c r="Q87" s="1121" t="s">
        <v>59</v>
      </c>
      <c r="R87" s="1033" t="s">
        <v>59</v>
      </c>
      <c r="S87" s="1033" t="s">
        <v>800</v>
      </c>
    </row>
    <row r="88" spans="1:19" ht="17" x14ac:dyDescent="0.25">
      <c r="A88" s="1127"/>
      <c r="B88" s="1039"/>
      <c r="C88" s="1033" t="s">
        <v>801</v>
      </c>
      <c r="D88" s="1103" t="s">
        <v>310</v>
      </c>
      <c r="E88" s="1034">
        <v>5298</v>
      </c>
      <c r="F88" s="1035">
        <v>2119.1999999999998</v>
      </c>
      <c r="G88" s="1033" t="s">
        <v>487</v>
      </c>
      <c r="H88" s="1112" t="s">
        <v>248</v>
      </c>
      <c r="I88" s="1033" t="s">
        <v>59</v>
      </c>
      <c r="J88" s="1036" t="s">
        <v>798</v>
      </c>
      <c r="K88" s="1033" t="s">
        <v>59</v>
      </c>
      <c r="L88" s="1146">
        <v>4</v>
      </c>
      <c r="M88" s="1146">
        <v>4</v>
      </c>
      <c r="N88" s="1146" t="s">
        <v>59</v>
      </c>
      <c r="O88" s="1033" t="s">
        <v>59</v>
      </c>
      <c r="P88" s="1033" t="s">
        <v>59</v>
      </c>
      <c r="Q88" s="1121" t="s">
        <v>59</v>
      </c>
      <c r="R88" s="1033" t="s">
        <v>59</v>
      </c>
      <c r="S88" s="1033" t="s">
        <v>801</v>
      </c>
    </row>
    <row r="89" spans="1:19" ht="17" x14ac:dyDescent="0.25">
      <c r="A89" s="1127"/>
      <c r="B89" s="1039"/>
      <c r="C89" s="1033" t="s">
        <v>802</v>
      </c>
      <c r="D89" s="1109" t="s">
        <v>310</v>
      </c>
      <c r="E89" s="1034">
        <v>5007</v>
      </c>
      <c r="F89" s="1035">
        <v>2002.8</v>
      </c>
      <c r="G89" s="1033" t="s">
        <v>487</v>
      </c>
      <c r="H89" s="1049" t="s">
        <v>248</v>
      </c>
      <c r="I89" s="1033" t="s">
        <v>59</v>
      </c>
      <c r="J89" s="1036" t="s">
        <v>798</v>
      </c>
      <c r="K89" s="1033" t="s">
        <v>59</v>
      </c>
      <c r="L89" s="1125">
        <v>6</v>
      </c>
      <c r="M89" s="1125">
        <v>6</v>
      </c>
      <c r="N89" s="1033" t="s">
        <v>59</v>
      </c>
      <c r="O89" s="1033" t="s">
        <v>59</v>
      </c>
      <c r="P89" s="1033" t="s">
        <v>59</v>
      </c>
      <c r="Q89" s="1121" t="s">
        <v>59</v>
      </c>
      <c r="R89" s="1033" t="s">
        <v>59</v>
      </c>
      <c r="S89" s="1033" t="s">
        <v>802</v>
      </c>
    </row>
    <row r="90" spans="1:19" x14ac:dyDescent="0.2">
      <c r="B90" s="1142">
        <f>SUM(B72:B89)</f>
        <v>0</v>
      </c>
    </row>
  </sheetData>
  <sheetProtection algorithmName="SHA-512" hashValue="VN/XwrNTKZXNfGNypAKo0Nje89E+FWOplCjnOSzcQ5sxcagVxjGHXttQ/L9IGZCpvyBEq9ZEZ7q6EfZLI9aJUQ==" saltValue="wTL2yR17e+9UG5o4zrSzyQ==" spinCount="100000" sheet="1" objects="1" scenarios="1"/>
  <mergeCells count="6">
    <mergeCell ref="J46:J54"/>
    <mergeCell ref="A2:C2"/>
    <mergeCell ref="B4:B6"/>
    <mergeCell ref="B7:B9"/>
    <mergeCell ref="D19:F19"/>
    <mergeCell ref="G19:I19"/>
  </mergeCells>
  <pageMargins left="0.7" right="0.7" top="0.75" bottom="0.75" header="0.3" footer="0.3"/>
  <pageSetup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6490DE-EE09-4FFF-8508-E2018BD60C3E}">
          <x14:formula1>
            <xm:f>'Data Elements'!$F$3:$F$31</xm:f>
          </x14:formula1>
          <xm:sqref>D2</xm:sqref>
        </x14:dataValidation>
        <x14:dataValidation type="list" allowBlank="1" showInputMessage="1" showErrorMessage="1" xr:uid="{271A00DF-56AB-4978-A1E5-52DD3688F81A}">
          <x14:formula1>
            <xm:f>'Data Elements'!$A$3:$A$179</xm:f>
          </x14:formula1>
          <xm:sqref>C21 C23:C26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B580-3025-49B9-A78A-8BD549857655}">
  <sheetPr>
    <tabColor rgb="FF000000"/>
  </sheetPr>
  <dimension ref="A1:J58"/>
  <sheetViews>
    <sheetView topLeftCell="D29" workbookViewId="0">
      <selection activeCell="H50" sqref="H50"/>
    </sheetView>
    <sheetView topLeftCell="A53" workbookViewId="1">
      <selection activeCell="F54" sqref="F54"/>
    </sheetView>
  </sheetViews>
  <sheetFormatPr baseColWidth="10" defaultColWidth="10.6640625" defaultRowHeight="16" x14ac:dyDescent="0.2"/>
  <cols>
    <col min="1" max="1" width="2.1640625" customWidth="1"/>
    <col min="2" max="2" width="22.6640625" bestFit="1" customWidth="1"/>
    <col min="3" max="3" width="50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73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19.005000000000003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0.90500000000000014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17.195</v>
      </c>
    </row>
    <row r="9" spans="1:10" ht="17" thickBot="1" x14ac:dyDescent="0.25">
      <c r="B9" s="1182"/>
      <c r="C9" s="19" t="s">
        <v>10</v>
      </c>
      <c r="D9" s="20">
        <f>VLOOKUP($D$2,Overview!$A$4:$AC$31,26,0)</f>
        <v>0.81880952380952388</v>
      </c>
    </row>
    <row r="10" spans="1:10" x14ac:dyDescent="0.2">
      <c r="B10" s="151"/>
      <c r="C10" s="70"/>
      <c r="D10" s="152"/>
      <c r="E10" s="233" t="s">
        <v>803</v>
      </c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284">
        <v>1</v>
      </c>
      <c r="C40" s="351" t="s">
        <v>620</v>
      </c>
      <c r="D40" s="285"/>
      <c r="E40" s="121"/>
      <c r="F40" s="121"/>
      <c r="G40" s="126"/>
      <c r="H40" s="126"/>
      <c r="I40" s="126"/>
      <c r="J40" s="38"/>
    </row>
    <row r="41" spans="2:10" x14ac:dyDescent="0.2">
      <c r="B41" s="284">
        <v>2</v>
      </c>
      <c r="C41" s="351"/>
      <c r="D41" s="285"/>
      <c r="E41" s="121"/>
      <c r="F41" s="121"/>
      <c r="G41" s="126"/>
      <c r="H41" s="126"/>
      <c r="I41" s="126"/>
      <c r="J41" s="38"/>
    </row>
    <row r="42" spans="2:10" x14ac:dyDescent="0.2">
      <c r="B42" s="284">
        <v>3</v>
      </c>
      <c r="C42" s="351"/>
      <c r="D42" s="285"/>
      <c r="E42" s="121"/>
      <c r="F42" s="121"/>
      <c r="G42" s="126"/>
      <c r="H42" s="126"/>
      <c r="I42" s="126"/>
      <c r="J42" s="38"/>
    </row>
    <row r="43" spans="2:10" x14ac:dyDescent="0.2">
      <c r="B43" s="349">
        <v>4</v>
      </c>
      <c r="C43" s="352"/>
      <c r="D43" s="290"/>
      <c r="E43" s="123"/>
      <c r="F43" s="123"/>
      <c r="G43" s="127"/>
      <c r="H43" s="127"/>
      <c r="I43" s="127"/>
      <c r="J43" s="41"/>
    </row>
    <row r="44" spans="2:10" s="11" customFormat="1" ht="19" x14ac:dyDescent="0.25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50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0</v>
      </c>
      <c r="D47" s="58" t="s">
        <v>217</v>
      </c>
      <c r="E47" s="224">
        <f>($D$4*12)-$E$37-$F$37-$D$37</f>
        <v>0</v>
      </c>
      <c r="H47" s="111">
        <f>($D$7*12)-$H$37-$I$37-$G$37</f>
        <v>0</v>
      </c>
      <c r="J47" s="1185" t="s">
        <v>386</v>
      </c>
    </row>
    <row r="48" spans="2:10" s="57" customFormat="1" ht="19" x14ac:dyDescent="0.25">
      <c r="B48" s="231">
        <f t="shared" si="3"/>
        <v>0</v>
      </c>
      <c r="C48" s="58"/>
      <c r="D48" s="58" t="s">
        <v>218</v>
      </c>
      <c r="E48" s="224">
        <f>$E$37+$F$37</f>
        <v>0</v>
      </c>
      <c r="H48" s="111">
        <f>$H$37+$I$37</f>
        <v>0</v>
      </c>
      <c r="J48" s="1185"/>
    </row>
    <row r="49" spans="2:10" s="57" customFormat="1" ht="19" x14ac:dyDescent="0.25">
      <c r="B49" s="231">
        <f t="shared" si="3"/>
        <v>25.857142857142861</v>
      </c>
      <c r="C49" s="58"/>
      <c r="D49" s="58" t="s">
        <v>219</v>
      </c>
      <c r="E49" s="224">
        <f>(($D$6-$D$4)*15)-D44</f>
        <v>13.575000000000003</v>
      </c>
      <c r="H49" s="111">
        <f>(($D$9-$D$7)*15)-$G$44</f>
        <v>12.282142857142858</v>
      </c>
      <c r="J49" s="1185"/>
    </row>
    <row r="50" spans="2:10" s="57" customFormat="1" ht="19" x14ac:dyDescent="0.25">
      <c r="B50" s="230">
        <f>SUM(E50:H50)</f>
        <v>25.857142857142861</v>
      </c>
      <c r="C50" s="59"/>
      <c r="D50" s="59" t="s">
        <v>220</v>
      </c>
      <c r="E50" s="106">
        <f>SUM(E47:E49)</f>
        <v>13.575000000000003</v>
      </c>
      <c r="H50" s="112">
        <f>SUM(H47:H49)</f>
        <v>12.282142857142858</v>
      </c>
      <c r="J50" s="1185"/>
    </row>
    <row r="51" spans="2:10" s="60" customFormat="1" ht="21" thickTop="1" thickBot="1" x14ac:dyDescent="0.3">
      <c r="B51" s="342"/>
      <c r="C51" s="61"/>
      <c r="D51" s="62" t="s">
        <v>221</v>
      </c>
      <c r="E51" s="107"/>
      <c r="H51" s="113">
        <f>-E51</f>
        <v>0</v>
      </c>
      <c r="J51" s="1185"/>
    </row>
    <row r="52" spans="2:10" s="57" customFormat="1" ht="19" x14ac:dyDescent="0.25">
      <c r="B52" s="371"/>
      <c r="D52" s="63" t="s">
        <v>222</v>
      </c>
      <c r="E52" s="108">
        <f>SUM(E50:E51)</f>
        <v>13.575000000000003</v>
      </c>
      <c r="G52" s="63"/>
      <c r="H52" s="114">
        <f>SUM(H50:H51)</f>
        <v>12.282142857142858</v>
      </c>
      <c r="I52" s="64"/>
      <c r="J52" s="1185"/>
    </row>
    <row r="53" spans="2:10" s="57" customFormat="1" ht="19" x14ac:dyDescent="0.25">
      <c r="D53" s="201" t="s">
        <v>278</v>
      </c>
      <c r="E53" s="202">
        <v>15</v>
      </c>
      <c r="F53" s="383" t="s">
        <v>224</v>
      </c>
      <c r="G53" s="204"/>
      <c r="H53" s="115"/>
      <c r="I53" s="66"/>
      <c r="J53" s="1185"/>
    </row>
    <row r="54" spans="2:10" s="57" customFormat="1" ht="19" x14ac:dyDescent="0.25">
      <c r="D54" s="71" t="s">
        <v>225</v>
      </c>
      <c r="E54" s="109">
        <f>E53-E52</f>
        <v>1.4249999999999972</v>
      </c>
      <c r="G54" s="65"/>
      <c r="H54" s="116">
        <f>H53-H52</f>
        <v>-12.282142857142858</v>
      </c>
      <c r="I54" s="66"/>
      <c r="J54" s="1185"/>
    </row>
    <row r="55" spans="2:10" s="57" customFormat="1" ht="20" thickBot="1" x14ac:dyDescent="0.3">
      <c r="D55" s="66" t="s">
        <v>226</v>
      </c>
      <c r="E55" s="105">
        <f>IFERROR(($D$5*5)/(E52/3),0)</f>
        <v>20.999999999999996</v>
      </c>
      <c r="H55" s="117">
        <f>IFERROR(5*$D$8/(H52/3),0)</f>
        <v>20.999999999999996</v>
      </c>
      <c r="J55" s="1186"/>
    </row>
    <row r="57" spans="2:10" x14ac:dyDescent="0.2">
      <c r="D57" t="s">
        <v>227</v>
      </c>
      <c r="E57" s="152">
        <f>+$E$49+$E$48+$H$48+$H$49+$D$44+$E$44+$F$44+$G$44+$H$44+$I$44</f>
        <v>25.857142857142861</v>
      </c>
      <c r="F57" s="11" t="s">
        <v>228</v>
      </c>
    </row>
    <row r="58" spans="2:10" x14ac:dyDescent="0.2">
      <c r="E58" s="953">
        <f>E57*2507</f>
        <v>64823.857142857152</v>
      </c>
    </row>
  </sheetData>
  <sheetProtection algorithmName="SHA-512" hashValue="92mKGc6EJpWOZghNk+KNhvBhiTtmpg43Wt8wlA005CH1kLJRCzt6vYr0OaelOnvutEf9eu/zGid2PInyzYcmUQ==" saltValue="cKRn5zQ7/3VRPmTWo9jrsA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38A0D6B-9C4D-4EF4-9029-3448C698DDAA}">
          <x14:formula1>
            <xm:f>'Data Elements'!$F$3:$F$31</xm:f>
          </x14:formula1>
          <xm:sqref>D2</xm:sqref>
        </x14:dataValidation>
        <x14:dataValidation type="list" allowBlank="1" showInputMessage="1" showErrorMessage="1" xr:uid="{3F79DB1C-8F28-4CBA-8564-97AF3880FE70}">
          <x14:formula1>
            <xm:f>'Data Elements'!$A$3:$A$101</xm:f>
          </x14:formula1>
          <xm:sqref>C36</xm:sqref>
        </x14:dataValidation>
        <x14:dataValidation type="list" allowBlank="1" showInputMessage="1" showErrorMessage="1" xr:uid="{A5A542FF-6F91-40A0-91B2-69FEA09E60B7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553C-CB01-4746-BDD3-A9D23ABD18E5}">
  <sheetPr>
    <tabColor rgb="FF000000"/>
  </sheetPr>
  <dimension ref="A1:M73"/>
  <sheetViews>
    <sheetView topLeftCell="A27" workbookViewId="0">
      <selection activeCell="H50" sqref="H50"/>
    </sheetView>
    <sheetView topLeftCell="D36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15.83203125" customWidth="1"/>
    <col min="4" max="4" width="31.6640625" customWidth="1"/>
    <col min="5" max="5" width="20.33203125" customWidth="1"/>
    <col min="6" max="6" width="14.1640625" customWidth="1"/>
    <col min="7" max="7" width="11.1640625" customWidth="1"/>
    <col min="8" max="8" width="15.83203125" customWidth="1"/>
    <col min="9" max="9" width="14.83203125" customWidth="1"/>
    <col min="10" max="10" width="57.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69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4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119.17500000000001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9.5340000000000007</v>
      </c>
    </row>
    <row r="7" spans="1:10" x14ac:dyDescent="0.2">
      <c r="B7" s="1180" t="s">
        <v>186</v>
      </c>
      <c r="C7" s="16" t="s">
        <v>187</v>
      </c>
      <c r="D7" s="173">
        <v>4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107.82499999999999</v>
      </c>
    </row>
    <row r="9" spans="1:10" ht="17" thickBot="1" x14ac:dyDescent="0.25">
      <c r="B9" s="1182"/>
      <c r="C9" s="19" t="s">
        <v>10</v>
      </c>
      <c r="D9" s="20">
        <f>VLOOKUP($D$2,Overview!$A$4:$AC$31,26,0)</f>
        <v>8.6259999999999994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x14ac:dyDescent="0.2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58" t="s">
        <v>199</v>
      </c>
    </row>
    <row r="21" spans="2:10" x14ac:dyDescent="0.2">
      <c r="B21" s="34">
        <v>1</v>
      </c>
      <c r="C21" s="273" t="s">
        <v>804</v>
      </c>
      <c r="D21" s="118"/>
      <c r="E21" s="118"/>
      <c r="F21" s="118">
        <v>3</v>
      </c>
      <c r="G21" s="119"/>
      <c r="H21" s="119"/>
      <c r="I21" s="120"/>
      <c r="J21" s="875" t="s">
        <v>805</v>
      </c>
    </row>
    <row r="22" spans="2:10" x14ac:dyDescent="0.2">
      <c r="B22" s="36">
        <v>2</v>
      </c>
      <c r="C22" s="271" t="s">
        <v>806</v>
      </c>
      <c r="D22" s="121">
        <f>6-0.9</f>
        <v>5.0999999999999996</v>
      </c>
      <c r="E22" s="121"/>
      <c r="F22" s="121"/>
      <c r="G22" s="122">
        <v>3</v>
      </c>
      <c r="H22" s="122"/>
      <c r="I22" s="122"/>
      <c r="J22" s="875" t="s">
        <v>807</v>
      </c>
    </row>
    <row r="23" spans="2:10" x14ac:dyDescent="0.2">
      <c r="B23" s="36">
        <v>3</v>
      </c>
      <c r="C23" s="273" t="s">
        <v>808</v>
      </c>
      <c r="D23" s="121"/>
      <c r="E23" s="121"/>
      <c r="F23" s="121"/>
      <c r="G23" s="122"/>
      <c r="H23" s="122"/>
      <c r="I23" s="122"/>
      <c r="J23" s="875"/>
    </row>
    <row r="24" spans="2:10" x14ac:dyDescent="0.2">
      <c r="B24" s="36">
        <v>4</v>
      </c>
      <c r="C24" s="271" t="s">
        <v>809</v>
      </c>
      <c r="D24" s="121">
        <v>0.9</v>
      </c>
      <c r="E24" s="121"/>
      <c r="F24" s="121"/>
      <c r="G24" s="122"/>
      <c r="H24" s="122"/>
      <c r="I24" s="122"/>
      <c r="J24" s="875" t="s">
        <v>810</v>
      </c>
    </row>
    <row r="25" spans="2:10" x14ac:dyDescent="0.2">
      <c r="B25" s="36">
        <v>5</v>
      </c>
      <c r="C25" s="227" t="s">
        <v>344</v>
      </c>
      <c r="D25" s="121"/>
      <c r="E25" s="121">
        <v>3</v>
      </c>
      <c r="F25" s="121"/>
      <c r="G25" s="122"/>
      <c r="H25" s="122"/>
      <c r="I25" s="122"/>
      <c r="J25" s="356" t="s">
        <v>628</v>
      </c>
    </row>
    <row r="26" spans="2:10" x14ac:dyDescent="0.2">
      <c r="B26" s="36">
        <v>6</v>
      </c>
      <c r="C26" s="227" t="s">
        <v>344</v>
      </c>
      <c r="D26" s="121"/>
      <c r="E26" s="121">
        <v>3</v>
      </c>
      <c r="F26" s="121"/>
      <c r="G26" s="122"/>
      <c r="H26" s="122"/>
      <c r="I26" s="122"/>
      <c r="J26" s="38" t="s">
        <v>811</v>
      </c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6</v>
      </c>
      <c r="E37" s="128">
        <f t="shared" si="0"/>
        <v>6</v>
      </c>
      <c r="F37" s="128">
        <f t="shared" si="0"/>
        <v>3</v>
      </c>
      <c r="G37" s="129">
        <f t="shared" si="0"/>
        <v>3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296" t="s">
        <v>812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29.25" customHeight="1" x14ac:dyDescent="0.2">
      <c r="B40" s="36">
        <v>1</v>
      </c>
      <c r="C40" t="s">
        <v>813</v>
      </c>
      <c r="D40" s="121"/>
      <c r="E40" s="121"/>
      <c r="F40" s="121"/>
      <c r="G40" s="126"/>
      <c r="H40" s="126"/>
      <c r="I40" s="122"/>
      <c r="J40" s="740"/>
    </row>
    <row r="41" spans="2:10" x14ac:dyDescent="0.2">
      <c r="B41" s="36">
        <v>2</v>
      </c>
      <c r="C41" t="s">
        <v>814</v>
      </c>
      <c r="D41" s="121"/>
      <c r="E41" s="121"/>
      <c r="F41" s="121"/>
      <c r="G41" s="126"/>
      <c r="H41" s="126"/>
      <c r="I41" s="122"/>
      <c r="J41" s="356"/>
    </row>
    <row r="42" spans="2:10" x14ac:dyDescent="0.2">
      <c r="B42" s="36">
        <v>3</v>
      </c>
      <c r="C42" t="s">
        <v>815</v>
      </c>
      <c r="D42" s="121"/>
      <c r="E42" s="121"/>
      <c r="F42" s="121"/>
      <c r="G42" s="126"/>
      <c r="H42" s="126"/>
      <c r="I42" s="122"/>
      <c r="J42" s="356"/>
    </row>
    <row r="43" spans="2:10" ht="17" thickBot="1" x14ac:dyDescent="0.25">
      <c r="B43" s="39">
        <v>4</v>
      </c>
      <c r="C43" t="s">
        <v>816</v>
      </c>
      <c r="D43" s="123"/>
      <c r="E43" s="123"/>
      <c r="F43" s="123">
        <v>3</v>
      </c>
      <c r="G43" s="127"/>
      <c r="H43" s="127"/>
      <c r="I43" s="127"/>
      <c r="J43" s="357" t="s">
        <v>817</v>
      </c>
    </row>
    <row r="44" spans="2:10" s="11" customFormat="1" ht="21" thickTop="1" thickBot="1" x14ac:dyDescent="0.3">
      <c r="B44" s="42"/>
      <c r="C44" s="43" t="s">
        <v>214</v>
      </c>
      <c r="D44" s="128"/>
      <c r="E44" s="128"/>
      <c r="F44" s="128"/>
      <c r="G44" s="129"/>
      <c r="H44" s="129"/>
      <c r="I44" s="129"/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1">SUM(E47:H47)</f>
        <v>78</v>
      </c>
      <c r="D47" s="58" t="s">
        <v>217</v>
      </c>
      <c r="E47" s="224">
        <f>($D$4*12)-$E$37-$F$37-$D$37</f>
        <v>33</v>
      </c>
      <c r="H47" s="111">
        <f>($D$7*12)-$H$37-$I$37-$G$37</f>
        <v>45</v>
      </c>
      <c r="J47" s="1185" t="s">
        <v>386</v>
      </c>
    </row>
    <row r="48" spans="2:10" s="57" customFormat="1" ht="19" x14ac:dyDescent="0.25">
      <c r="B48" s="231">
        <f t="shared" si="1"/>
        <v>9</v>
      </c>
      <c r="C48" s="58"/>
      <c r="D48" s="58" t="s">
        <v>218</v>
      </c>
      <c r="E48" s="224">
        <f>$E$37+$F$37</f>
        <v>9</v>
      </c>
      <c r="H48" s="111">
        <f>$H$37+$I$37</f>
        <v>0</v>
      </c>
      <c r="J48" s="1185"/>
    </row>
    <row r="49" spans="2:13" s="57" customFormat="1" ht="19" x14ac:dyDescent="0.25">
      <c r="B49" s="231">
        <f t="shared" si="1"/>
        <v>152.39999999999998</v>
      </c>
      <c r="C49" s="58"/>
      <c r="D49" s="58" t="s">
        <v>219</v>
      </c>
      <c r="E49" s="224">
        <f>(($D$6-$D$4)*15)-D44</f>
        <v>83.01</v>
      </c>
      <c r="H49" s="111">
        <f>(($D$9-$D$7)*15)-$G$44</f>
        <v>69.389999999999986</v>
      </c>
      <c r="J49" s="1185"/>
    </row>
    <row r="50" spans="2:13" s="57" customFormat="1" ht="19" x14ac:dyDescent="0.25">
      <c r="B50" s="230">
        <f>SUM(E50:H50)</f>
        <v>239.39999999999998</v>
      </c>
      <c r="C50" s="59"/>
      <c r="D50" s="59" t="s">
        <v>220</v>
      </c>
      <c r="E50" s="106">
        <f>SUM(E47:E49)</f>
        <v>125.01</v>
      </c>
      <c r="H50" s="112">
        <f>SUM(H47:H49)</f>
        <v>114.38999999999999</v>
      </c>
      <c r="J50" s="1185"/>
    </row>
    <row r="51" spans="2:13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3" s="57" customFormat="1" ht="20" thickBot="1" x14ac:dyDescent="0.3">
      <c r="D52" s="63" t="s">
        <v>222</v>
      </c>
      <c r="E52" s="108">
        <f>SUM(E50:E51)</f>
        <v>125.01</v>
      </c>
      <c r="G52" s="63"/>
      <c r="H52" s="114">
        <f>SUM(H50:H51)</f>
        <v>114.38999999999999</v>
      </c>
      <c r="I52" s="64"/>
      <c r="J52" s="1185"/>
    </row>
    <row r="53" spans="2:13" s="57" customFormat="1" ht="19" x14ac:dyDescent="0.25">
      <c r="D53" s="201" t="s">
        <v>278</v>
      </c>
      <c r="E53" s="202">
        <v>129.35</v>
      </c>
      <c r="F53" s="383" t="s">
        <v>224</v>
      </c>
      <c r="G53" s="204"/>
      <c r="H53" s="115"/>
      <c r="I53" s="66"/>
      <c r="J53" s="1185"/>
    </row>
    <row r="54" spans="2:13" s="57" customFormat="1" ht="19" x14ac:dyDescent="0.25">
      <c r="D54" s="71" t="s">
        <v>225</v>
      </c>
      <c r="E54" s="109">
        <f>E53-E52</f>
        <v>4.3399999999999892</v>
      </c>
      <c r="G54" s="65"/>
      <c r="H54" s="116">
        <f>H53-H52</f>
        <v>-114.38999999999999</v>
      </c>
      <c r="I54" s="66"/>
      <c r="J54" s="1185"/>
    </row>
    <row r="55" spans="2:13" s="57" customFormat="1" ht="20" thickBot="1" x14ac:dyDescent="0.3">
      <c r="D55" s="66" t="s">
        <v>226</v>
      </c>
      <c r="E55" s="105">
        <f>IFERROR(($D$5*5)/(E52/3),0)</f>
        <v>14.299856011519077</v>
      </c>
      <c r="H55" s="117">
        <f>IFERROR(5*$D$8/(H52/3),0)</f>
        <v>14.139129294518753</v>
      </c>
      <c r="J55" s="1186"/>
    </row>
    <row r="56" spans="2:13" x14ac:dyDescent="0.2">
      <c r="D56" t="s">
        <v>227</v>
      </c>
      <c r="E56" s="152">
        <f>+$E$49+$E$48+$H$48+$H$49+$D$44+$E$44+$F$44+$G$44+$H$44+$I$44</f>
        <v>161.39999999999998</v>
      </c>
      <c r="F56" s="11" t="s">
        <v>228</v>
      </c>
    </row>
    <row r="57" spans="2:13" x14ac:dyDescent="0.2">
      <c r="E57" s="953">
        <f>E56*2507</f>
        <v>404629.79999999993</v>
      </c>
    </row>
    <row r="59" spans="2:13" ht="68" x14ac:dyDescent="0.25">
      <c r="B59" s="268" t="s">
        <v>279</v>
      </c>
      <c r="C59" s="456" t="s">
        <v>230</v>
      </c>
      <c r="D59" s="457" t="s">
        <v>280</v>
      </c>
      <c r="E59" s="458" t="s">
        <v>234</v>
      </c>
      <c r="F59" s="456" t="s">
        <v>235</v>
      </c>
      <c r="G59" s="459" t="s">
        <v>236</v>
      </c>
      <c r="H59" s="459" t="s">
        <v>237</v>
      </c>
      <c r="I59" s="459" t="s">
        <v>238</v>
      </c>
      <c r="J59" s="458" t="s">
        <v>281</v>
      </c>
      <c r="K59" s="458" t="s">
        <v>282</v>
      </c>
      <c r="L59" s="616" t="s">
        <v>243</v>
      </c>
      <c r="M59" s="646" t="s">
        <v>244</v>
      </c>
    </row>
    <row r="60" spans="2:13" ht="17" x14ac:dyDescent="0.25">
      <c r="C60" s="461" t="s">
        <v>818</v>
      </c>
      <c r="D60" s="462" t="s">
        <v>287</v>
      </c>
      <c r="E60" s="464" t="s">
        <v>247</v>
      </c>
      <c r="F60" s="461" t="s">
        <v>248</v>
      </c>
      <c r="G60" s="465">
        <v>3</v>
      </c>
      <c r="H60" s="465">
        <v>1</v>
      </c>
      <c r="I60" s="526"/>
      <c r="J60" s="528">
        <v>29.6</v>
      </c>
      <c r="K60" s="647"/>
      <c r="L60" s="648"/>
      <c r="M60" s="402" t="s">
        <v>249</v>
      </c>
    </row>
    <row r="61" spans="2:13" ht="17" x14ac:dyDescent="0.25">
      <c r="C61" s="533" t="s">
        <v>819</v>
      </c>
      <c r="D61" s="462" t="s">
        <v>251</v>
      </c>
      <c r="E61" s="464" t="s">
        <v>252</v>
      </c>
      <c r="F61" s="533" t="s">
        <v>248</v>
      </c>
      <c r="G61" s="649">
        <v>3</v>
      </c>
      <c r="H61" s="649">
        <v>1</v>
      </c>
      <c r="I61" s="526"/>
      <c r="J61" s="528">
        <v>1.25</v>
      </c>
      <c r="K61" s="647"/>
      <c r="L61" s="650"/>
      <c r="M61" s="402" t="s">
        <v>249</v>
      </c>
    </row>
    <row r="62" spans="2:13" ht="34" x14ac:dyDescent="0.25">
      <c r="C62" s="533" t="s">
        <v>814</v>
      </c>
      <c r="D62" s="462" t="s">
        <v>287</v>
      </c>
      <c r="E62" s="464" t="s">
        <v>252</v>
      </c>
      <c r="F62" s="461" t="s">
        <v>248</v>
      </c>
      <c r="G62" s="465">
        <v>3</v>
      </c>
      <c r="H62" s="465">
        <v>1</v>
      </c>
      <c r="I62" s="651" t="s">
        <v>820</v>
      </c>
      <c r="J62" s="528">
        <v>15.75</v>
      </c>
      <c r="K62" s="647"/>
      <c r="L62" s="648"/>
      <c r="M62" s="402" t="s">
        <v>249</v>
      </c>
    </row>
    <row r="63" spans="2:13" ht="17" x14ac:dyDescent="0.25">
      <c r="C63" s="533" t="s">
        <v>821</v>
      </c>
      <c r="D63" s="462" t="s">
        <v>246</v>
      </c>
      <c r="E63" s="464" t="s">
        <v>252</v>
      </c>
      <c r="F63" s="461" t="s">
        <v>248</v>
      </c>
      <c r="G63" s="465">
        <v>3</v>
      </c>
      <c r="H63" s="465">
        <v>1</v>
      </c>
      <c r="I63" s="526"/>
      <c r="J63" s="528">
        <v>26.6</v>
      </c>
      <c r="K63" s="647"/>
      <c r="L63" s="648"/>
      <c r="M63" s="402" t="s">
        <v>249</v>
      </c>
    </row>
    <row r="64" spans="2:13" ht="17" x14ac:dyDescent="0.25">
      <c r="C64" s="533" t="s">
        <v>813</v>
      </c>
      <c r="D64" s="462" t="s">
        <v>251</v>
      </c>
      <c r="E64" s="464" t="s">
        <v>247</v>
      </c>
      <c r="F64" s="461" t="s">
        <v>248</v>
      </c>
      <c r="G64" s="465">
        <v>3</v>
      </c>
      <c r="H64" s="465">
        <v>1</v>
      </c>
      <c r="I64" s="526"/>
      <c r="J64" s="528">
        <v>28.95</v>
      </c>
      <c r="K64" s="647"/>
      <c r="L64" s="648"/>
      <c r="M64" s="402" t="s">
        <v>249</v>
      </c>
    </row>
    <row r="65" spans="2:13" ht="17" x14ac:dyDescent="0.25">
      <c r="C65" s="533" t="s">
        <v>822</v>
      </c>
      <c r="D65" s="462" t="s">
        <v>251</v>
      </c>
      <c r="E65" s="464" t="s">
        <v>252</v>
      </c>
      <c r="F65" s="461" t="s">
        <v>248</v>
      </c>
      <c r="G65" s="465">
        <v>3</v>
      </c>
      <c r="H65" s="465">
        <v>1</v>
      </c>
      <c r="I65" s="526"/>
      <c r="J65" s="528">
        <v>21.9</v>
      </c>
      <c r="K65" s="647"/>
      <c r="L65" s="652"/>
      <c r="M65" s="402" t="s">
        <v>249</v>
      </c>
    </row>
    <row r="66" spans="2:13" ht="85" x14ac:dyDescent="0.25">
      <c r="C66" s="533" t="s">
        <v>823</v>
      </c>
      <c r="D66" s="462" t="s">
        <v>287</v>
      </c>
      <c r="E66" s="464" t="s">
        <v>252</v>
      </c>
      <c r="F66" s="461" t="s">
        <v>248</v>
      </c>
      <c r="G66" s="465">
        <v>3</v>
      </c>
      <c r="H66" s="465">
        <v>1</v>
      </c>
      <c r="I66" s="526" t="s">
        <v>824</v>
      </c>
      <c r="J66" s="528">
        <v>12.9</v>
      </c>
      <c r="K66" s="647"/>
      <c r="L66" s="648"/>
      <c r="M66" s="402" t="s">
        <v>249</v>
      </c>
    </row>
    <row r="67" spans="2:13" ht="51" x14ac:dyDescent="0.25">
      <c r="C67" s="533" t="s">
        <v>825</v>
      </c>
      <c r="D67" s="462" t="s">
        <v>287</v>
      </c>
      <c r="E67" s="464" t="s">
        <v>252</v>
      </c>
      <c r="F67" s="461" t="s">
        <v>248</v>
      </c>
      <c r="G67" s="465">
        <v>3</v>
      </c>
      <c r="H67" s="465">
        <v>1</v>
      </c>
      <c r="I67" s="526" t="s">
        <v>826</v>
      </c>
      <c r="J67" s="528">
        <v>13.5</v>
      </c>
      <c r="K67" s="647"/>
      <c r="L67" s="652"/>
      <c r="M67" s="402" t="s">
        <v>249</v>
      </c>
    </row>
    <row r="68" spans="2:13" ht="34" x14ac:dyDescent="0.25">
      <c r="C68" s="653" t="s">
        <v>827</v>
      </c>
      <c r="D68" s="654" t="s">
        <v>300</v>
      </c>
      <c r="E68" s="655" t="s">
        <v>252</v>
      </c>
      <c r="F68" s="656" t="s">
        <v>248</v>
      </c>
      <c r="G68" s="657" t="s">
        <v>301</v>
      </c>
      <c r="H68" s="657">
        <v>2</v>
      </c>
      <c r="I68" s="658" t="s">
        <v>294</v>
      </c>
      <c r="J68" s="659">
        <v>9.9</v>
      </c>
      <c r="K68" s="660"/>
      <c r="L68" s="652"/>
      <c r="M68" s="402" t="s">
        <v>604</v>
      </c>
    </row>
    <row r="69" spans="2:13" ht="68" x14ac:dyDescent="0.25">
      <c r="C69" s="661" t="s">
        <v>828</v>
      </c>
      <c r="D69" s="662" t="s">
        <v>310</v>
      </c>
      <c r="E69" s="663" t="s">
        <v>252</v>
      </c>
      <c r="F69" s="661" t="s">
        <v>248</v>
      </c>
      <c r="G69" s="664" t="s">
        <v>311</v>
      </c>
      <c r="H69" s="664">
        <v>2</v>
      </c>
      <c r="I69" s="665" t="s">
        <v>829</v>
      </c>
      <c r="J69" s="666">
        <v>0</v>
      </c>
      <c r="K69" s="667"/>
      <c r="L69" s="667"/>
      <c r="M69" s="668" t="s">
        <v>430</v>
      </c>
    </row>
    <row r="70" spans="2:13" ht="68" x14ac:dyDescent="0.25">
      <c r="C70" s="661" t="s">
        <v>830</v>
      </c>
      <c r="D70" s="662" t="s">
        <v>310</v>
      </c>
      <c r="E70" s="663" t="s">
        <v>252</v>
      </c>
      <c r="F70" s="661" t="s">
        <v>248</v>
      </c>
      <c r="G70" s="664" t="s">
        <v>311</v>
      </c>
      <c r="H70" s="664">
        <v>2</v>
      </c>
      <c r="I70" s="665" t="s">
        <v>829</v>
      </c>
      <c r="J70" s="666"/>
      <c r="K70" s="667"/>
      <c r="L70" s="667"/>
      <c r="M70" s="669" t="s">
        <v>430</v>
      </c>
    </row>
    <row r="71" spans="2:13" ht="17" x14ac:dyDescent="0.25">
      <c r="C71" s="670" t="s">
        <v>831</v>
      </c>
      <c r="D71" s="671" t="s">
        <v>310</v>
      </c>
      <c r="E71" s="672" t="s">
        <v>252</v>
      </c>
      <c r="F71" s="670" t="s">
        <v>248</v>
      </c>
      <c r="G71" s="673" t="s">
        <v>311</v>
      </c>
      <c r="H71" s="673">
        <v>2</v>
      </c>
      <c r="I71" s="674" t="s">
        <v>321</v>
      </c>
      <c r="J71" s="675"/>
      <c r="K71" s="676"/>
      <c r="L71" s="676"/>
      <c r="M71" s="677"/>
    </row>
    <row r="72" spans="2:13" ht="17" x14ac:dyDescent="0.25">
      <c r="C72" s="670" t="s">
        <v>832</v>
      </c>
      <c r="D72" s="671" t="s">
        <v>310</v>
      </c>
      <c r="E72" s="672" t="s">
        <v>252</v>
      </c>
      <c r="F72" s="670" t="s">
        <v>248</v>
      </c>
      <c r="G72" s="673" t="s">
        <v>311</v>
      </c>
      <c r="H72" s="673">
        <v>2</v>
      </c>
      <c r="I72" s="674" t="s">
        <v>321</v>
      </c>
      <c r="J72" s="675"/>
      <c r="K72" s="676"/>
      <c r="L72" s="676"/>
      <c r="M72" s="677"/>
    </row>
    <row r="73" spans="2:13" x14ac:dyDescent="0.2">
      <c r="B73" s="268"/>
      <c r="J73" s="268"/>
    </row>
  </sheetData>
  <sheetProtection algorithmName="SHA-512" hashValue="fGqLYxNYzE8RyVsJFYysVAOzF+EMhnYPwCauUq3U0QuvRtu7eXrqUH/SoHNhBBrmTdePSUaS4qV+nwN9+0zsOw==" saltValue="9KdMb4Wml5T7xisSZDX+qQ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6489E06-6A33-45DF-A1C1-F97C2AD4120A}">
          <x14:formula1>
            <xm:f>'Data Elements'!$F$3:$F$31</xm:f>
          </x14:formula1>
          <xm:sqref>D2</xm:sqref>
        </x14:dataValidation>
        <x14:dataValidation type="list" allowBlank="1" showInputMessage="1" showErrorMessage="1" xr:uid="{2AF3EE67-6CE5-49B4-A7D4-CAFCEE4DB74B}">
          <x14:formula1>
            <xm:f>'Data Elements'!$A$3:$A$101</xm:f>
          </x14:formula1>
          <xm:sqref>C36</xm:sqref>
        </x14:dataValidation>
        <x14:dataValidation type="list" allowBlank="1" showInputMessage="1" showErrorMessage="1" xr:uid="{44DE7E51-B90C-42D1-B938-EACCB164E946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89C7-9098-4E8D-BDDE-F602A885D4E7}">
  <sheetPr>
    <tabColor rgb="FF000000"/>
  </sheetPr>
  <dimension ref="A1:L73"/>
  <sheetViews>
    <sheetView topLeftCell="A43" workbookViewId="0">
      <selection activeCell="H50" sqref="H50"/>
    </sheetView>
    <sheetView topLeftCell="A39" workbookViewId="1">
      <selection activeCell="F56" sqref="F56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4" width="31.6640625" customWidth="1"/>
    <col min="5" max="5" width="19" customWidth="1"/>
    <col min="6" max="6" width="14.83203125" customWidth="1"/>
    <col min="7" max="7" width="18.1640625" customWidth="1"/>
    <col min="8" max="8" width="20.33203125" customWidth="1"/>
    <col min="9" max="9" width="21.1640625" customWidth="1"/>
    <col min="10" max="10" width="54.1640625" customWidth="1"/>
    <col min="11" max="11" width="51.332031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74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2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81.585000000000008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5.9551094890510958</v>
      </c>
    </row>
    <row r="7" spans="1:10" x14ac:dyDescent="0.2">
      <c r="B7" s="1180" t="s">
        <v>186</v>
      </c>
      <c r="C7" s="16" t="s">
        <v>187</v>
      </c>
      <c r="D7" s="173">
        <v>2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73.814999999999998</v>
      </c>
    </row>
    <row r="9" spans="1:10" ht="17" thickBot="1" x14ac:dyDescent="0.25">
      <c r="B9" s="1182"/>
      <c r="C9" s="19" t="s">
        <v>10</v>
      </c>
      <c r="D9" s="20">
        <f>VLOOKUP($D$2,Overview!$A$4:$AC$31,26,0)</f>
        <v>5.3879562043795621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1" ht="16.25" customHeight="1" x14ac:dyDescent="0.2">
      <c r="B17" s="156"/>
      <c r="C17" s="155" t="s">
        <v>191</v>
      </c>
      <c r="J17" s="25"/>
    </row>
    <row r="18" spans="2:11" ht="16.25" customHeight="1" x14ac:dyDescent="0.2">
      <c r="B18" s="156"/>
      <c r="C18" s="155" t="s">
        <v>192</v>
      </c>
      <c r="J18" s="25"/>
    </row>
    <row r="19" spans="2:11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1" s="1" customFormat="1" ht="19" x14ac:dyDescent="0.25">
      <c r="B20" s="29"/>
      <c r="C20" s="174" t="s">
        <v>257</v>
      </c>
      <c r="D20" s="764" t="s">
        <v>196</v>
      </c>
      <c r="E20" s="745" t="s">
        <v>43</v>
      </c>
      <c r="F20" s="745" t="s">
        <v>197</v>
      </c>
      <c r="G20" s="746" t="s">
        <v>196</v>
      </c>
      <c r="H20" s="746" t="s">
        <v>198</v>
      </c>
      <c r="I20" s="765" t="s">
        <v>197</v>
      </c>
      <c r="J20" s="766" t="s">
        <v>199</v>
      </c>
      <c r="K20" s="742" t="s">
        <v>388</v>
      </c>
    </row>
    <row r="21" spans="2:11" x14ac:dyDescent="0.2">
      <c r="B21" s="34">
        <v>1</v>
      </c>
      <c r="C21" s="233" t="s">
        <v>833</v>
      </c>
      <c r="D21" s="749"/>
      <c r="E21" s="360"/>
      <c r="F21" s="360">
        <v>5</v>
      </c>
      <c r="G21" s="750"/>
      <c r="H21" s="755"/>
      <c r="I21" s="755">
        <v>1</v>
      </c>
      <c r="J21" s="756" t="s">
        <v>834</v>
      </c>
      <c r="K21" s="753" t="s">
        <v>835</v>
      </c>
    </row>
    <row r="22" spans="2:11" x14ac:dyDescent="0.2">
      <c r="B22" s="36">
        <v>2</v>
      </c>
      <c r="C22" s="227" t="s">
        <v>836</v>
      </c>
      <c r="D22" s="749"/>
      <c r="E22" s="360">
        <v>3</v>
      </c>
      <c r="F22" s="360"/>
      <c r="G22" s="750"/>
      <c r="H22" s="755">
        <v>3</v>
      </c>
      <c r="I22" s="755"/>
      <c r="J22" s="752" t="s">
        <v>837</v>
      </c>
      <c r="K22" s="753" t="s">
        <v>838</v>
      </c>
    </row>
    <row r="23" spans="2:11" x14ac:dyDescent="0.2">
      <c r="B23" s="36">
        <v>3</v>
      </c>
      <c r="C23" s="37"/>
      <c r="D23" s="121"/>
      <c r="E23" s="121"/>
      <c r="F23" s="121"/>
      <c r="G23" s="122"/>
      <c r="H23" s="119"/>
      <c r="I23" s="122"/>
      <c r="J23" s="38"/>
      <c r="K23" s="753"/>
    </row>
    <row r="24" spans="2:11" x14ac:dyDescent="0.2">
      <c r="B24" s="36">
        <v>4</v>
      </c>
      <c r="C24" s="37"/>
      <c r="D24" s="121"/>
      <c r="E24" s="121"/>
      <c r="F24" s="121"/>
      <c r="G24" s="122"/>
      <c r="H24" s="119"/>
      <c r="I24" s="122"/>
      <c r="J24" s="38"/>
      <c r="K24" s="753"/>
    </row>
    <row r="25" spans="2:11" x14ac:dyDescent="0.2">
      <c r="B25" s="36">
        <v>5</v>
      </c>
      <c r="C25" s="37"/>
      <c r="D25" s="121"/>
      <c r="E25" s="121"/>
      <c r="F25" s="121"/>
      <c r="G25" s="122"/>
      <c r="H25" s="119"/>
      <c r="I25" s="122"/>
      <c r="J25" s="38"/>
      <c r="K25" s="753"/>
    </row>
    <row r="26" spans="2:11" x14ac:dyDescent="0.2">
      <c r="B26" s="36">
        <v>6</v>
      </c>
      <c r="C26" s="37"/>
      <c r="D26" s="121"/>
      <c r="E26" s="121"/>
      <c r="F26" s="121"/>
      <c r="G26" s="122"/>
      <c r="H26" s="119"/>
      <c r="I26" s="122"/>
      <c r="J26" s="38"/>
      <c r="K26" s="753"/>
    </row>
    <row r="27" spans="2:11" x14ac:dyDescent="0.2">
      <c r="B27" s="36">
        <v>7</v>
      </c>
      <c r="C27" s="37"/>
      <c r="D27" s="121"/>
      <c r="E27" s="121"/>
      <c r="F27" s="121"/>
      <c r="G27" s="122"/>
      <c r="H27" s="119"/>
      <c r="I27" s="122"/>
      <c r="J27" s="38"/>
      <c r="K27" s="753"/>
    </row>
    <row r="28" spans="2:11" x14ac:dyDescent="0.2">
      <c r="B28" s="36">
        <v>8</v>
      </c>
      <c r="C28" s="37"/>
      <c r="D28" s="121"/>
      <c r="E28" s="121"/>
      <c r="F28" s="121"/>
      <c r="G28" s="122"/>
      <c r="H28" s="119"/>
      <c r="I28" s="122"/>
      <c r="J28" s="38"/>
      <c r="K28" s="753"/>
    </row>
    <row r="29" spans="2:11" x14ac:dyDescent="0.2">
      <c r="B29" s="36">
        <v>9</v>
      </c>
      <c r="C29" s="37"/>
      <c r="D29" s="121"/>
      <c r="E29" s="121"/>
      <c r="F29" s="121"/>
      <c r="G29" s="122"/>
      <c r="H29" s="119"/>
      <c r="I29" s="122"/>
      <c r="J29" s="38"/>
      <c r="K29" s="753"/>
    </row>
    <row r="30" spans="2:11" x14ac:dyDescent="0.2">
      <c r="B30" s="36">
        <v>10</v>
      </c>
      <c r="C30" s="37"/>
      <c r="D30" s="121"/>
      <c r="E30" s="121"/>
      <c r="F30" s="121"/>
      <c r="G30" s="122"/>
      <c r="H30" s="119"/>
      <c r="I30" s="122"/>
      <c r="J30" s="38"/>
      <c r="K30" s="753"/>
    </row>
    <row r="31" spans="2:11" x14ac:dyDescent="0.2">
      <c r="B31" s="36">
        <v>11</v>
      </c>
      <c r="C31" s="37"/>
      <c r="D31" s="121"/>
      <c r="E31" s="121"/>
      <c r="F31" s="121"/>
      <c r="G31" s="122"/>
      <c r="H31" s="119"/>
      <c r="I31" s="122"/>
      <c r="J31" s="38"/>
      <c r="K31" s="753"/>
    </row>
    <row r="32" spans="2:11" x14ac:dyDescent="0.2">
      <c r="B32" s="36">
        <v>12</v>
      </c>
      <c r="C32" s="37"/>
      <c r="D32" s="121"/>
      <c r="E32" s="121"/>
      <c r="F32" s="121"/>
      <c r="G32" s="122"/>
      <c r="H32" s="119"/>
      <c r="I32" s="122"/>
      <c r="J32" s="38"/>
      <c r="K32" s="753"/>
    </row>
    <row r="33" spans="2:11" x14ac:dyDescent="0.2">
      <c r="B33" s="36">
        <v>13</v>
      </c>
      <c r="C33" s="37"/>
      <c r="D33" s="121"/>
      <c r="E33" s="121"/>
      <c r="F33" s="121"/>
      <c r="G33" s="122"/>
      <c r="H33" s="119"/>
      <c r="I33" s="122"/>
      <c r="J33" s="38"/>
      <c r="K33" s="753"/>
    </row>
    <row r="34" spans="2:11" x14ac:dyDescent="0.2">
      <c r="B34" s="36">
        <v>14</v>
      </c>
      <c r="C34" s="37"/>
      <c r="D34" s="121"/>
      <c r="E34" s="121"/>
      <c r="F34" s="121"/>
      <c r="G34" s="122"/>
      <c r="H34" s="119"/>
      <c r="I34" s="122"/>
      <c r="J34" s="38"/>
      <c r="K34" s="753"/>
    </row>
    <row r="35" spans="2:11" x14ac:dyDescent="0.2">
      <c r="B35" s="36">
        <v>15</v>
      </c>
      <c r="C35" s="37"/>
      <c r="D35" s="121"/>
      <c r="E35" s="121"/>
      <c r="F35" s="121"/>
      <c r="G35" s="378"/>
      <c r="H35" s="379"/>
      <c r="I35" s="378"/>
      <c r="J35" s="38"/>
      <c r="K35" s="753"/>
    </row>
    <row r="36" spans="2:11" ht="17" thickBot="1" x14ac:dyDescent="0.25">
      <c r="B36" s="39">
        <v>16</v>
      </c>
      <c r="C36" s="40"/>
      <c r="D36" s="123"/>
      <c r="E36" s="123"/>
      <c r="F36" s="123"/>
      <c r="G36" s="380"/>
      <c r="H36" s="380"/>
      <c r="I36" s="380"/>
      <c r="J36" s="41"/>
    </row>
    <row r="37" spans="2:11" s="11" customFormat="1" ht="21" thickTop="1" thickBot="1" x14ac:dyDescent="0.3">
      <c r="B37" s="42"/>
      <c r="C37" s="43" t="s">
        <v>209</v>
      </c>
      <c r="D37" s="128">
        <f t="shared" ref="D37:F37" si="0">SUM(D21:D36)</f>
        <v>0</v>
      </c>
      <c r="E37" s="128">
        <f t="shared" si="0"/>
        <v>3</v>
      </c>
      <c r="F37" s="128">
        <f t="shared" si="0"/>
        <v>5</v>
      </c>
      <c r="G37" s="381">
        <f>SUM(G21:G36)</f>
        <v>0</v>
      </c>
      <c r="H37" s="381">
        <f>SUM(H21:H36)</f>
        <v>3</v>
      </c>
      <c r="I37" s="381">
        <f>SUM(I21:I36)</f>
        <v>1</v>
      </c>
      <c r="J37" s="44"/>
    </row>
    <row r="38" spans="2:11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1" s="1" customFormat="1" ht="19" x14ac:dyDescent="0.25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759" t="s">
        <v>199</v>
      </c>
      <c r="K39" s="742" t="s">
        <v>388</v>
      </c>
    </row>
    <row r="40" spans="2:11" ht="16.25" customHeight="1" x14ac:dyDescent="0.2">
      <c r="B40" s="36">
        <v>1</v>
      </c>
      <c r="C40" s="293" t="s">
        <v>839</v>
      </c>
      <c r="D40" s="361" t="s">
        <v>59</v>
      </c>
      <c r="E40" s="361" t="s">
        <v>59</v>
      </c>
      <c r="F40" s="361" t="s">
        <v>59</v>
      </c>
      <c r="G40" s="362" t="s">
        <v>59</v>
      </c>
      <c r="H40" s="362" t="s">
        <v>59</v>
      </c>
      <c r="I40" s="362" t="s">
        <v>59</v>
      </c>
      <c r="J40" s="760" t="s">
        <v>59</v>
      </c>
      <c r="K40" s="753"/>
    </row>
    <row r="41" spans="2:11" ht="16.25" customHeight="1" x14ac:dyDescent="0.2">
      <c r="B41" s="36">
        <v>2</v>
      </c>
      <c r="C41" s="363" t="s">
        <v>840</v>
      </c>
      <c r="D41" s="360" t="s">
        <v>59</v>
      </c>
      <c r="E41" s="360" t="s">
        <v>59</v>
      </c>
      <c r="F41" s="360" t="s">
        <v>59</v>
      </c>
      <c r="G41" s="364" t="s">
        <v>59</v>
      </c>
      <c r="H41" s="364" t="s">
        <v>59</v>
      </c>
      <c r="I41" s="364" t="s">
        <v>59</v>
      </c>
      <c r="J41" s="365" t="s">
        <v>59</v>
      </c>
      <c r="K41" s="753"/>
    </row>
    <row r="42" spans="2:11" ht="16.25" customHeight="1" x14ac:dyDescent="0.2">
      <c r="B42" s="36">
        <v>3</v>
      </c>
      <c r="C42" s="363" t="s">
        <v>841</v>
      </c>
      <c r="D42" s="360" t="s">
        <v>59</v>
      </c>
      <c r="E42" s="360" t="s">
        <v>59</v>
      </c>
      <c r="F42" s="360" t="s">
        <v>59</v>
      </c>
      <c r="G42" s="364" t="s">
        <v>59</v>
      </c>
      <c r="H42" s="364" t="s">
        <v>59</v>
      </c>
      <c r="I42" s="364" t="s">
        <v>59</v>
      </c>
      <c r="J42" s="365" t="s">
        <v>59</v>
      </c>
      <c r="K42" s="753"/>
    </row>
    <row r="43" spans="2:11" x14ac:dyDescent="0.2">
      <c r="B43" s="36">
        <v>4</v>
      </c>
      <c r="C43" s="363" t="s">
        <v>842</v>
      </c>
      <c r="D43" s="360" t="s">
        <v>59</v>
      </c>
      <c r="E43" s="367"/>
      <c r="F43" s="360" t="s">
        <v>59</v>
      </c>
      <c r="G43" s="364" t="s">
        <v>59</v>
      </c>
      <c r="H43" s="364" t="s">
        <v>59</v>
      </c>
      <c r="I43" s="364" t="s">
        <v>59</v>
      </c>
      <c r="J43" s="767" t="s">
        <v>59</v>
      </c>
      <c r="K43" s="753"/>
    </row>
    <row r="44" spans="2:11" x14ac:dyDescent="0.2">
      <c r="B44" s="36">
        <v>5</v>
      </c>
      <c r="C44" s="363" t="s">
        <v>843</v>
      </c>
      <c r="D44" s="360" t="s">
        <v>59</v>
      </c>
      <c r="E44" s="360" t="s">
        <v>59</v>
      </c>
      <c r="F44" s="360" t="s">
        <v>59</v>
      </c>
      <c r="G44" s="364" t="s">
        <v>59</v>
      </c>
      <c r="H44" s="364" t="s">
        <v>59</v>
      </c>
      <c r="I44" s="364" t="s">
        <v>59</v>
      </c>
      <c r="J44" s="365" t="s">
        <v>59</v>
      </c>
      <c r="K44" s="753"/>
    </row>
    <row r="45" spans="2:11" x14ac:dyDescent="0.2">
      <c r="B45" s="39">
        <v>6</v>
      </c>
      <c r="C45" s="363" t="s">
        <v>844</v>
      </c>
      <c r="D45" s="360" t="s">
        <v>59</v>
      </c>
      <c r="E45" s="360" t="s">
        <v>59</v>
      </c>
      <c r="F45" s="360" t="s">
        <v>406</v>
      </c>
      <c r="G45" s="364" t="s">
        <v>59</v>
      </c>
      <c r="H45" s="364"/>
      <c r="I45" s="364"/>
      <c r="J45" s="365" t="s">
        <v>845</v>
      </c>
      <c r="K45" s="753"/>
    </row>
    <row r="46" spans="2:11" s="11" customFormat="1" ht="21" thickTop="1" thickBot="1" x14ac:dyDescent="0.3">
      <c r="B46" s="42"/>
      <c r="C46" s="43" t="s">
        <v>214</v>
      </c>
      <c r="D46" s="128">
        <f>SUM(D40:D45)</f>
        <v>0</v>
      </c>
      <c r="E46" s="128">
        <f t="shared" ref="E46:F46" si="1">SUM(E40:E45)</f>
        <v>0</v>
      </c>
      <c r="F46" s="128">
        <f t="shared" si="1"/>
        <v>0</v>
      </c>
      <c r="G46" s="129">
        <f>SUM(G40:G45)</f>
        <v>0</v>
      </c>
      <c r="H46" s="129">
        <f t="shared" ref="H46:I46" si="2">SUM(H40:H45)</f>
        <v>0</v>
      </c>
      <c r="I46" s="129">
        <f t="shared" si="2"/>
        <v>0</v>
      </c>
      <c r="J46" s="53">
        <f>SUM(D46:I46)</f>
        <v>0</v>
      </c>
    </row>
    <row r="47" spans="2:11" ht="6" customHeight="1" thickBot="1" x14ac:dyDescent="0.25">
      <c r="C47" s="363" t="s">
        <v>59</v>
      </c>
      <c r="D47" s="374" t="s">
        <v>59</v>
      </c>
      <c r="E47" s="374" t="s">
        <v>59</v>
      </c>
      <c r="F47" s="374" t="s">
        <v>59</v>
      </c>
      <c r="G47" s="374" t="s">
        <v>59</v>
      </c>
      <c r="H47" s="374" t="s">
        <v>59</v>
      </c>
      <c r="I47" s="374" t="s">
        <v>59</v>
      </c>
      <c r="J47" s="375" t="s">
        <v>59</v>
      </c>
    </row>
    <row r="48" spans="2:11" s="54" customFormat="1" ht="19" x14ac:dyDescent="0.25">
      <c r="B48" s="229" t="s">
        <v>215</v>
      </c>
      <c r="D48" s="72"/>
      <c r="E48" s="72" t="s">
        <v>182</v>
      </c>
      <c r="F48" s="72"/>
      <c r="G48" s="55"/>
      <c r="H48" s="55" t="s">
        <v>186</v>
      </c>
      <c r="I48" s="55"/>
      <c r="J48" s="56" t="s">
        <v>216</v>
      </c>
    </row>
    <row r="49" spans="2:12" s="57" customFormat="1" ht="19" x14ac:dyDescent="0.25">
      <c r="B49" s="231">
        <f t="shared" ref="B49:B51" si="3">SUM(E49:H49)</f>
        <v>36</v>
      </c>
      <c r="D49" s="58" t="s">
        <v>217</v>
      </c>
      <c r="E49" s="224">
        <f>($D$4*12)-$E$37-$F$37-$D$37</f>
        <v>16</v>
      </c>
      <c r="H49" s="111">
        <f>($D$7*12)-$H$37-$I$37-$G$37</f>
        <v>20</v>
      </c>
      <c r="J49" s="1185" t="s">
        <v>419</v>
      </c>
    </row>
    <row r="50" spans="2:12" s="57" customFormat="1" ht="19" x14ac:dyDescent="0.25">
      <c r="B50" s="231">
        <f t="shared" si="3"/>
        <v>12</v>
      </c>
      <c r="C50" s="58"/>
      <c r="D50" s="58" t="s">
        <v>218</v>
      </c>
      <c r="E50" s="224">
        <f>+E37+F37</f>
        <v>8</v>
      </c>
      <c r="H50" s="111">
        <f>+H37+I37</f>
        <v>4</v>
      </c>
      <c r="J50" s="1185"/>
    </row>
    <row r="51" spans="2:12" s="57" customFormat="1" ht="19" x14ac:dyDescent="0.25">
      <c r="B51" s="231">
        <f t="shared" si="3"/>
        <v>110.14598540145987</v>
      </c>
      <c r="C51" s="58"/>
      <c r="D51" s="58" t="s">
        <v>219</v>
      </c>
      <c r="E51" s="224">
        <f>(($D$6-$D$4)*15)-D46</f>
        <v>59.326642335766437</v>
      </c>
      <c r="H51" s="111">
        <f>(($D$9-$D$7)*15)-$G$46</f>
        <v>50.819343065693431</v>
      </c>
      <c r="J51" s="1185"/>
    </row>
    <row r="52" spans="2:12" s="57" customFormat="1" ht="20" thickBot="1" x14ac:dyDescent="0.3">
      <c r="B52" s="230">
        <f>SUM(E52:H52)</f>
        <v>158.14598540145988</v>
      </c>
      <c r="C52" s="59"/>
      <c r="D52" s="59" t="s">
        <v>220</v>
      </c>
      <c r="E52" s="106">
        <f>SUM(E49:E51)</f>
        <v>83.326642335766437</v>
      </c>
      <c r="H52" s="112">
        <f>SUM(H49:H51)</f>
        <v>74.819343065693431</v>
      </c>
      <c r="J52" s="1185"/>
    </row>
    <row r="53" spans="2:12" s="60" customFormat="1" ht="21" thickTop="1" thickBot="1" x14ac:dyDescent="0.3">
      <c r="C53" s="61"/>
      <c r="D53" s="62" t="s">
        <v>221</v>
      </c>
      <c r="E53" s="107"/>
      <c r="H53" s="113">
        <f>-E53</f>
        <v>0</v>
      </c>
      <c r="J53" s="1185"/>
    </row>
    <row r="54" spans="2:12" s="57" customFormat="1" ht="20" thickBot="1" x14ac:dyDescent="0.3">
      <c r="D54" s="63" t="s">
        <v>222</v>
      </c>
      <c r="E54" s="108">
        <f>SUM(E52:E53)</f>
        <v>83.326642335766437</v>
      </c>
      <c r="G54" s="63"/>
      <c r="H54" s="114">
        <f>SUM(H52:H53)</f>
        <v>74.819343065693431</v>
      </c>
      <c r="I54" s="64"/>
      <c r="J54" s="1185"/>
    </row>
    <row r="55" spans="2:12" s="57" customFormat="1" ht="19" x14ac:dyDescent="0.25">
      <c r="D55" s="201" t="s">
        <v>278</v>
      </c>
      <c r="E55" s="202">
        <v>82.3</v>
      </c>
      <c r="F55" s="383" t="s">
        <v>224</v>
      </c>
      <c r="G55" s="204"/>
      <c r="H55" s="115"/>
      <c r="I55" s="66"/>
      <c r="J55" s="1185"/>
    </row>
    <row r="56" spans="2:12" s="57" customFormat="1" ht="19" x14ac:dyDescent="0.25">
      <c r="D56" s="71" t="s">
        <v>225</v>
      </c>
      <c r="E56" s="109">
        <f>E55-E54</f>
        <v>-1.0266423357664394</v>
      </c>
      <c r="G56" s="65"/>
      <c r="H56" s="116">
        <f>H55-H54</f>
        <v>-74.819343065693431</v>
      </c>
      <c r="I56" s="66"/>
      <c r="J56" s="1185"/>
    </row>
    <row r="57" spans="2:12" s="57" customFormat="1" ht="20" thickBot="1" x14ac:dyDescent="0.3">
      <c r="D57" s="66" t="s">
        <v>226</v>
      </c>
      <c r="E57" s="105">
        <f>IFERROR(($D$5*5)/(E54/3),0)</f>
        <v>14.686479206359634</v>
      </c>
      <c r="H57" s="117">
        <f>IFERROR(5*$D$8/(H54/3),0)</f>
        <v>14.79864637447867</v>
      </c>
      <c r="J57" s="1186"/>
    </row>
    <row r="58" spans="2:12" x14ac:dyDescent="0.2">
      <c r="D58" t="s">
        <v>227</v>
      </c>
      <c r="E58" s="152">
        <f>+E50+E51+H50+H51+D46+E46+F46+G46+H46+I46</f>
        <v>122.14598540145987</v>
      </c>
      <c r="F58" s="11" t="s">
        <v>228</v>
      </c>
    </row>
    <row r="59" spans="2:12" x14ac:dyDescent="0.2">
      <c r="E59" s="953">
        <f>E58*2507</f>
        <v>306219.98540145991</v>
      </c>
    </row>
    <row r="63" spans="2:12" ht="68" x14ac:dyDescent="0.25">
      <c r="B63" s="232" t="s">
        <v>279</v>
      </c>
      <c r="C63" s="678" t="s">
        <v>230</v>
      </c>
      <c r="D63" s="679" t="s">
        <v>280</v>
      </c>
      <c r="E63" s="679" t="s">
        <v>234</v>
      </c>
      <c r="F63" s="679" t="s">
        <v>235</v>
      </c>
      <c r="G63" s="680" t="s">
        <v>236</v>
      </c>
      <c r="H63" s="680" t="s">
        <v>237</v>
      </c>
      <c r="I63" s="679" t="s">
        <v>238</v>
      </c>
      <c r="J63" s="679" t="s">
        <v>281</v>
      </c>
      <c r="K63" s="679" t="s">
        <v>243</v>
      </c>
      <c r="L63" s="679" t="s">
        <v>244</v>
      </c>
    </row>
    <row r="64" spans="2:12" ht="17" x14ac:dyDescent="0.25">
      <c r="B64">
        <v>1</v>
      </c>
      <c r="C64" s="697" t="s">
        <v>846</v>
      </c>
      <c r="D64" s="698" t="s">
        <v>246</v>
      </c>
      <c r="E64" s="698" t="s">
        <v>284</v>
      </c>
      <c r="F64" s="698" t="s">
        <v>285</v>
      </c>
      <c r="G64" s="700">
        <v>1</v>
      </c>
      <c r="H64" s="700" t="s">
        <v>249</v>
      </c>
      <c r="I64" s="701"/>
      <c r="J64" s="702">
        <v>30</v>
      </c>
      <c r="K64" s="699"/>
      <c r="L64" s="703" t="s">
        <v>249</v>
      </c>
    </row>
    <row r="65" spans="2:12" ht="34" x14ac:dyDescent="0.25">
      <c r="B65">
        <v>1</v>
      </c>
      <c r="C65" s="704" t="s">
        <v>847</v>
      </c>
      <c r="D65" s="698" t="s">
        <v>246</v>
      </c>
      <c r="E65" s="703" t="s">
        <v>284</v>
      </c>
      <c r="F65" s="703" t="s">
        <v>285</v>
      </c>
      <c r="G65" s="705">
        <v>1</v>
      </c>
      <c r="H65" s="705" t="s">
        <v>249</v>
      </c>
      <c r="I65" s="701" t="s">
        <v>420</v>
      </c>
      <c r="J65" s="702">
        <v>30</v>
      </c>
      <c r="K65" s="706"/>
      <c r="L65" s="703" t="s">
        <v>249</v>
      </c>
    </row>
    <row r="66" spans="2:12" ht="17" x14ac:dyDescent="0.25">
      <c r="C66" s="684" t="s">
        <v>530</v>
      </c>
      <c r="D66" s="683" t="s">
        <v>251</v>
      </c>
      <c r="E66" s="683" t="s">
        <v>284</v>
      </c>
      <c r="F66" s="683" t="s">
        <v>248</v>
      </c>
      <c r="G66" s="685">
        <v>3</v>
      </c>
      <c r="H66" s="685">
        <v>1</v>
      </c>
      <c r="I66" s="681"/>
      <c r="J66" s="682">
        <v>20.6</v>
      </c>
      <c r="K66" s="686"/>
      <c r="L66" s="683" t="s">
        <v>249</v>
      </c>
    </row>
    <row r="67" spans="2:12" ht="17" x14ac:dyDescent="0.25">
      <c r="C67" s="684" t="s">
        <v>848</v>
      </c>
      <c r="D67" s="683" t="s">
        <v>287</v>
      </c>
      <c r="E67" s="683" t="s">
        <v>252</v>
      </c>
      <c r="F67" s="683" t="s">
        <v>248</v>
      </c>
      <c r="G67" s="685">
        <v>3</v>
      </c>
      <c r="H67" s="685">
        <v>1</v>
      </c>
      <c r="I67" s="681" t="s">
        <v>423</v>
      </c>
      <c r="J67" s="682">
        <v>19</v>
      </c>
      <c r="K67" s="686"/>
      <c r="L67" s="683" t="s">
        <v>249</v>
      </c>
    </row>
    <row r="68" spans="2:12" ht="17" x14ac:dyDescent="0.25">
      <c r="C68" s="684" t="s">
        <v>849</v>
      </c>
      <c r="D68" s="683" t="s">
        <v>246</v>
      </c>
      <c r="E68" s="683" t="s">
        <v>247</v>
      </c>
      <c r="F68" s="683" t="s">
        <v>248</v>
      </c>
      <c r="G68" s="685">
        <v>3</v>
      </c>
      <c r="H68" s="685">
        <v>1</v>
      </c>
      <c r="I68" s="681"/>
      <c r="J68" s="682">
        <v>26</v>
      </c>
      <c r="K68" s="686"/>
      <c r="L68" s="683" t="s">
        <v>249</v>
      </c>
    </row>
    <row r="69" spans="2:12" ht="17" x14ac:dyDescent="0.25">
      <c r="C69" s="684" t="s">
        <v>850</v>
      </c>
      <c r="D69" s="683" t="s">
        <v>251</v>
      </c>
      <c r="E69" s="683" t="s">
        <v>252</v>
      </c>
      <c r="F69" s="683" t="s">
        <v>248</v>
      </c>
      <c r="G69" s="685">
        <v>3</v>
      </c>
      <c r="H69" s="685">
        <v>1</v>
      </c>
      <c r="I69" s="681"/>
      <c r="J69" s="682">
        <v>14.6</v>
      </c>
      <c r="K69" s="686"/>
      <c r="L69" s="683" t="s">
        <v>249</v>
      </c>
    </row>
    <row r="70" spans="2:12" ht="17" x14ac:dyDescent="0.25">
      <c r="C70" s="687" t="s">
        <v>851</v>
      </c>
      <c r="D70" s="688"/>
      <c r="E70" s="688"/>
      <c r="F70" s="688"/>
      <c r="G70" s="690"/>
      <c r="H70" s="690"/>
      <c r="I70" s="691" t="s">
        <v>319</v>
      </c>
      <c r="J70" s="692"/>
      <c r="K70" s="688"/>
      <c r="L70" s="688"/>
    </row>
    <row r="71" spans="2:12" ht="17" x14ac:dyDescent="0.25">
      <c r="C71" s="693" t="s">
        <v>852</v>
      </c>
      <c r="D71" s="688"/>
      <c r="E71" s="694"/>
      <c r="F71" s="694"/>
      <c r="G71" s="695"/>
      <c r="H71" s="695"/>
      <c r="I71" s="696" t="s">
        <v>321</v>
      </c>
      <c r="J71" s="692"/>
      <c r="K71" s="689"/>
      <c r="L71" s="688"/>
    </row>
    <row r="72" spans="2:12" ht="17" x14ac:dyDescent="0.25">
      <c r="C72" s="693" t="s">
        <v>853</v>
      </c>
      <c r="D72" s="688"/>
      <c r="E72" s="694"/>
      <c r="F72" s="694"/>
      <c r="G72" s="695"/>
      <c r="H72" s="695"/>
      <c r="I72" s="696" t="s">
        <v>321</v>
      </c>
      <c r="J72" s="692"/>
      <c r="K72" s="689"/>
      <c r="L72" s="688"/>
    </row>
    <row r="73" spans="2:12" x14ac:dyDescent="0.2">
      <c r="B73" s="228">
        <f>SUM(B64:B65)</f>
        <v>2</v>
      </c>
      <c r="J73" s="443">
        <f>SUM(J64:J65)</f>
        <v>60</v>
      </c>
    </row>
  </sheetData>
  <sheetProtection algorithmName="SHA-512" hashValue="4Jnqo8jvutHRZ2V9HP1ThtcmfkeVXyisc+A3gZBhZ0+/m4DNWrF9+2+ZEIOldJ4H4SNFsDkQcb/n4Ye31ndw7g==" saltValue="re55SVhZq1dyjmRukewciw==" spinCount="100000" sheet="1" objects="1" scenarios="1"/>
  <mergeCells count="6">
    <mergeCell ref="J49:J57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DCE9B6-7BDE-45AE-8FBD-9C71049D3412}">
          <x14:formula1>
            <xm:f>'Data Elements'!$F$3:$F$31</xm:f>
          </x14:formula1>
          <xm:sqref>D2</xm:sqref>
        </x14:dataValidation>
        <x14:dataValidation type="list" allowBlank="1" showInputMessage="1" showErrorMessage="1" xr:uid="{7B372E56-5536-4365-9C3F-B7C9DD0DE95A}">
          <x14:formula1>
            <xm:f>'Data Elements'!$A$3:$A$101</xm:f>
          </x14:formula1>
          <xm:sqref>C36</xm:sqref>
        </x14:dataValidation>
        <x14:dataValidation type="list" allowBlank="1" showInputMessage="1" showErrorMessage="1" xr:uid="{8754A4DB-D7A5-4526-80DA-8E290771010F}">
          <x14:formula1>
            <xm:f>'Data Elements'!$A$3:$A$179</xm:f>
          </x14:formula1>
          <xm:sqref>C22:C35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9ED9-E9D1-4AD9-82E6-22B1EE4E8FF0}">
  <sheetPr>
    <tabColor rgb="FF000000"/>
  </sheetPr>
  <dimension ref="A1:Q67"/>
  <sheetViews>
    <sheetView topLeftCell="C28" workbookViewId="0">
      <selection activeCell="H50" sqref="H50"/>
    </sheetView>
    <sheetView topLeftCell="A35" workbookViewId="1">
      <selection activeCell="F54" sqref="F54"/>
    </sheetView>
  </sheetViews>
  <sheetFormatPr baseColWidth="10" defaultColWidth="10.6640625" defaultRowHeight="16" x14ac:dyDescent="0.2"/>
  <cols>
    <col min="1" max="1" width="3.1640625" customWidth="1"/>
    <col min="2" max="2" width="22.6640625" bestFit="1" customWidth="1"/>
    <col min="3" max="3" width="22.1640625" customWidth="1"/>
    <col min="4" max="4" width="38.6640625" customWidth="1"/>
    <col min="5" max="5" width="19.1640625" customWidth="1"/>
    <col min="6" max="6" width="17.5" bestFit="1" customWidth="1"/>
    <col min="7" max="7" width="15.83203125" customWidth="1"/>
    <col min="8" max="8" width="14.6640625" customWidth="1"/>
    <col min="9" max="9" width="15.5" customWidth="1"/>
    <col min="10" max="10" width="65.33203125" customWidth="1"/>
    <col min="14" max="14" width="10.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354" t="s">
        <v>99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851">
        <v>4.25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116.02500000000001</v>
      </c>
      <c r="E5" s="11"/>
    </row>
    <row r="6" spans="1:10" x14ac:dyDescent="0.2">
      <c r="B6" s="1179"/>
      <c r="C6" s="14" t="s">
        <v>9</v>
      </c>
      <c r="D6" s="15">
        <f>VLOOKUP($D$2,Overview!$A$4:$AC$31,18,0)</f>
        <v>8.170774647887324</v>
      </c>
    </row>
    <row r="7" spans="1:10" x14ac:dyDescent="0.2">
      <c r="B7" s="1180" t="s">
        <v>186</v>
      </c>
      <c r="C7" s="16" t="s">
        <v>187</v>
      </c>
      <c r="D7" s="851">
        <v>4.25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104.97499999999999</v>
      </c>
    </row>
    <row r="9" spans="1:10" x14ac:dyDescent="0.2">
      <c r="B9" s="1182"/>
      <c r="C9" s="19" t="s">
        <v>10</v>
      </c>
      <c r="D9" s="20">
        <f>VLOOKUP($D$2,Overview!$A$4:$AC$31,26,0)</f>
        <v>7.392605633802817</v>
      </c>
    </row>
    <row r="10" spans="1:10" x14ac:dyDescent="0.2">
      <c r="B10" s="151"/>
      <c r="C10" s="70"/>
      <c r="D10" s="152"/>
      <c r="E10" s="343" t="s">
        <v>854</v>
      </c>
      <c r="F10" s="343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6" ht="16.25" customHeight="1" x14ac:dyDescent="0.2">
      <c r="B17" s="156"/>
      <c r="C17" s="155" t="s">
        <v>191</v>
      </c>
      <c r="J17" s="25"/>
    </row>
    <row r="18" spans="2:16" ht="16.25" customHeight="1" x14ac:dyDescent="0.2">
      <c r="B18" s="156"/>
      <c r="C18" s="155" t="s">
        <v>192</v>
      </c>
      <c r="J18" s="25"/>
    </row>
    <row r="19" spans="2:16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6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6" x14ac:dyDescent="0.2">
      <c r="B21" s="34">
        <v>1</v>
      </c>
      <c r="C21" s="227"/>
      <c r="D21" s="118"/>
      <c r="E21" s="118"/>
      <c r="F21" s="118"/>
      <c r="G21" s="119"/>
      <c r="H21" s="119"/>
      <c r="I21" s="120"/>
      <c r="J21" s="35"/>
    </row>
    <row r="22" spans="2:16" ht="35.25" customHeight="1" x14ac:dyDescent="0.2">
      <c r="B22" s="36">
        <v>2</v>
      </c>
      <c r="C22" s="227" t="s">
        <v>855</v>
      </c>
      <c r="D22" s="998">
        <v>6</v>
      </c>
      <c r="E22" s="121"/>
      <c r="F22" s="121"/>
      <c r="G22" s="122">
        <v>12</v>
      </c>
      <c r="H22" s="122"/>
      <c r="I22" s="122"/>
      <c r="J22" s="339" t="s">
        <v>856</v>
      </c>
      <c r="K22" t="s">
        <v>857</v>
      </c>
    </row>
    <row r="23" spans="2:16" x14ac:dyDescent="0.2">
      <c r="B23" s="36">
        <v>3</v>
      </c>
      <c r="C23" s="227" t="s">
        <v>858</v>
      </c>
      <c r="D23" s="121"/>
      <c r="E23" s="121"/>
      <c r="F23" s="121"/>
      <c r="G23" s="122"/>
      <c r="H23" s="122"/>
      <c r="I23" s="122"/>
      <c r="J23" s="38"/>
    </row>
    <row r="24" spans="2:16" x14ac:dyDescent="0.2">
      <c r="B24" s="36">
        <v>4</v>
      </c>
      <c r="C24" s="227" t="s">
        <v>859</v>
      </c>
      <c r="D24" s="121"/>
      <c r="E24" s="121"/>
      <c r="F24" s="998">
        <v>3</v>
      </c>
      <c r="G24" s="122"/>
      <c r="H24" s="122"/>
      <c r="I24" s="122"/>
      <c r="J24" s="38" t="s">
        <v>860</v>
      </c>
      <c r="K24" t="s">
        <v>861</v>
      </c>
    </row>
    <row r="25" spans="2:16" x14ac:dyDescent="0.2">
      <c r="B25" s="36">
        <v>5</v>
      </c>
      <c r="C25" s="227" t="s">
        <v>862</v>
      </c>
      <c r="D25" s="121"/>
      <c r="E25" s="121"/>
      <c r="F25" s="121"/>
      <c r="G25" s="122"/>
      <c r="H25" s="122"/>
      <c r="I25" s="122"/>
      <c r="J25" s="38"/>
    </row>
    <row r="26" spans="2:16" x14ac:dyDescent="0.2">
      <c r="B26" s="36">
        <v>6</v>
      </c>
      <c r="C26" s="227" t="s">
        <v>863</v>
      </c>
      <c r="D26" s="121"/>
      <c r="E26" s="121"/>
      <c r="F26" s="121"/>
      <c r="G26" s="122"/>
      <c r="H26" s="122"/>
      <c r="I26" s="122"/>
      <c r="J26" s="38"/>
    </row>
    <row r="27" spans="2:16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6" ht="22.5" customHeight="1" x14ac:dyDescent="0.2">
      <c r="B28" s="36">
        <v>8</v>
      </c>
      <c r="C28" s="37" t="s">
        <v>344</v>
      </c>
      <c r="D28" s="121"/>
      <c r="E28" s="121">
        <v>3</v>
      </c>
      <c r="F28" s="121"/>
      <c r="G28" s="122"/>
      <c r="H28" s="122"/>
      <c r="I28" s="122"/>
      <c r="J28" s="38" t="s">
        <v>864</v>
      </c>
      <c r="K28" s="1" t="s">
        <v>100</v>
      </c>
      <c r="L28" s="1" t="s">
        <v>108</v>
      </c>
      <c r="M28" s="1" t="s">
        <v>596</v>
      </c>
      <c r="N28" s="1" t="s">
        <v>865</v>
      </c>
      <c r="O28" s="1" t="s">
        <v>866</v>
      </c>
    </row>
    <row r="29" spans="2:16" x14ac:dyDescent="0.2">
      <c r="B29" s="36">
        <v>9</v>
      </c>
      <c r="C29" s="37" t="s">
        <v>344</v>
      </c>
      <c r="D29" s="121">
        <v>3</v>
      </c>
      <c r="E29" s="121"/>
      <c r="F29" s="121"/>
      <c r="G29" s="122"/>
      <c r="H29" s="122"/>
      <c r="I29" s="122"/>
      <c r="J29" s="38" t="s">
        <v>867</v>
      </c>
      <c r="K29" t="s">
        <v>868</v>
      </c>
      <c r="L29">
        <v>3</v>
      </c>
      <c r="M29">
        <v>12</v>
      </c>
      <c r="N29">
        <v>6</v>
      </c>
      <c r="O29">
        <v>9</v>
      </c>
      <c r="P29" t="s">
        <v>869</v>
      </c>
    </row>
    <row r="30" spans="2:16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  <c r="K30" t="s">
        <v>870</v>
      </c>
      <c r="M30">
        <v>-3</v>
      </c>
      <c r="N30">
        <v>-3</v>
      </c>
      <c r="O30">
        <v>-3</v>
      </c>
    </row>
    <row r="31" spans="2:16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  <c r="M31">
        <v>-3</v>
      </c>
      <c r="P31" t="s">
        <v>871</v>
      </c>
    </row>
    <row r="32" spans="2:16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  <c r="K32" t="s">
        <v>194</v>
      </c>
      <c r="L32">
        <f>SUM(L29:L31)</f>
        <v>3</v>
      </c>
      <c r="M32">
        <f>SUM(M29:M31)</f>
        <v>6</v>
      </c>
      <c r="N32">
        <f>SUM(N29:N31)</f>
        <v>3</v>
      </c>
      <c r="O32">
        <f>SUM(O29:O31)</f>
        <v>6</v>
      </c>
    </row>
    <row r="33" spans="2:11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1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1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1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1" s="11" customFormat="1" ht="21" thickTop="1" thickBot="1" x14ac:dyDescent="0.3">
      <c r="B37" s="42"/>
      <c r="C37" s="43" t="s">
        <v>209</v>
      </c>
      <c r="D37" s="128">
        <f t="shared" ref="D37:I37" si="0">SUM(D21:D36)</f>
        <v>9</v>
      </c>
      <c r="E37" s="128">
        <f>SUM(E21:E36)</f>
        <v>3</v>
      </c>
      <c r="F37" s="128">
        <f t="shared" si="0"/>
        <v>3</v>
      </c>
      <c r="G37" s="129">
        <f t="shared" si="0"/>
        <v>12</v>
      </c>
      <c r="H37" s="129">
        <f t="shared" si="0"/>
        <v>0</v>
      </c>
      <c r="I37" s="129">
        <f t="shared" si="0"/>
        <v>0</v>
      </c>
      <c r="J37" s="44"/>
    </row>
    <row r="38" spans="2:11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1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1" ht="16.25" customHeight="1" x14ac:dyDescent="0.25">
      <c r="B40" s="284">
        <v>1</v>
      </c>
      <c r="C40" s="283" t="s">
        <v>872</v>
      </c>
      <c r="D40" s="1057">
        <v>3</v>
      </c>
      <c r="E40" s="121"/>
      <c r="F40" s="121"/>
      <c r="G40" s="126">
        <v>3</v>
      </c>
      <c r="H40" s="126"/>
      <c r="I40" s="126"/>
      <c r="J40" s="38" t="s">
        <v>873</v>
      </c>
      <c r="K40" t="s">
        <v>874</v>
      </c>
    </row>
    <row r="41" spans="2:11" ht="19" x14ac:dyDescent="0.25">
      <c r="B41" s="284">
        <v>2</v>
      </c>
      <c r="C41" s="283"/>
      <c r="D41" s="285"/>
      <c r="E41" s="121"/>
      <c r="F41" s="121"/>
      <c r="G41" s="126"/>
      <c r="H41" s="126"/>
      <c r="I41" s="126"/>
      <c r="J41" s="38"/>
    </row>
    <row r="42" spans="2:11" ht="19" x14ac:dyDescent="0.25">
      <c r="B42" s="284">
        <v>3</v>
      </c>
      <c r="C42" s="283"/>
      <c r="D42" s="285"/>
      <c r="E42" s="121"/>
      <c r="F42" s="121"/>
      <c r="G42" s="126"/>
      <c r="H42" s="126"/>
      <c r="I42" s="126"/>
      <c r="J42" s="38"/>
    </row>
    <row r="43" spans="2:11" ht="19" x14ac:dyDescent="0.25">
      <c r="B43" s="349">
        <v>4</v>
      </c>
      <c r="C43" s="353"/>
      <c r="D43" s="290"/>
      <c r="E43" s="123"/>
      <c r="F43" s="123"/>
      <c r="G43" s="127"/>
      <c r="H43" s="127"/>
      <c r="I43" s="127"/>
      <c r="J43" s="41"/>
    </row>
    <row r="44" spans="2:11" s="11" customFormat="1" ht="19" x14ac:dyDescent="0.25">
      <c r="B44" s="42"/>
      <c r="C44" s="43" t="s">
        <v>214</v>
      </c>
      <c r="D44" s="128">
        <f>SUM(D40:D43)</f>
        <v>3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3</v>
      </c>
      <c r="H44" s="129">
        <f t="shared" ref="H44:I44" si="2">SUM(H40:H43)</f>
        <v>0</v>
      </c>
      <c r="I44" s="129">
        <f t="shared" si="2"/>
        <v>0</v>
      </c>
      <c r="J44" s="53">
        <f>SUM(D44:I44)</f>
        <v>6</v>
      </c>
    </row>
    <row r="45" spans="2:11" ht="6" customHeight="1" thickBot="1" x14ac:dyDescent="0.25"/>
    <row r="46" spans="2:11" s="54" customFormat="1" ht="19" x14ac:dyDescent="0.25">
      <c r="B46" s="229" t="s">
        <v>50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1" s="57" customFormat="1" ht="19" x14ac:dyDescent="0.25">
      <c r="B47" s="231">
        <f t="shared" ref="B47:B49" si="3">SUM(E47:H47)</f>
        <v>75</v>
      </c>
      <c r="D47" s="58" t="s">
        <v>217</v>
      </c>
      <c r="E47" s="224">
        <f>($D$4*12)-$E$37-$F$37-$D$37</f>
        <v>36</v>
      </c>
      <c r="H47" s="111">
        <f>($D$7*12)-$H$37-$I$37-$G$37</f>
        <v>39</v>
      </c>
      <c r="J47" s="1185" t="s">
        <v>875</v>
      </c>
    </row>
    <row r="48" spans="2:11" s="57" customFormat="1" ht="19" x14ac:dyDescent="0.25">
      <c r="B48" s="231">
        <f t="shared" si="3"/>
        <v>6</v>
      </c>
      <c r="C48" s="58"/>
      <c r="D48" s="58" t="s">
        <v>218</v>
      </c>
      <c r="E48" s="224">
        <f>$E$37+$F$37</f>
        <v>6</v>
      </c>
      <c r="H48" s="111">
        <f>$H$37+$I$37</f>
        <v>0</v>
      </c>
      <c r="J48" s="1185"/>
    </row>
    <row r="49" spans="2:17" s="57" customFormat="1" ht="19" x14ac:dyDescent="0.25">
      <c r="B49" s="231">
        <f t="shared" si="3"/>
        <v>99.950704225352112</v>
      </c>
      <c r="C49" s="58"/>
      <c r="D49" s="58" t="s">
        <v>219</v>
      </c>
      <c r="E49" s="224">
        <f>(($D$6-$D$4)*15)-D44</f>
        <v>55.811619718309856</v>
      </c>
      <c r="H49" s="111">
        <f>(($D$9-$D$7)*15)-$G$44</f>
        <v>44.139084507042256</v>
      </c>
      <c r="J49" s="1185"/>
    </row>
    <row r="50" spans="2:17" s="57" customFormat="1" ht="20" thickBot="1" x14ac:dyDescent="0.3">
      <c r="B50" s="230">
        <f>SUM(E50:H50)</f>
        <v>180.95070422535213</v>
      </c>
      <c r="C50" s="59"/>
      <c r="D50" s="59" t="s">
        <v>220</v>
      </c>
      <c r="E50" s="106">
        <f>SUM(E47:E49)</f>
        <v>97.811619718309856</v>
      </c>
      <c r="H50" s="112">
        <f>SUM(H47:H49)</f>
        <v>83.139084507042256</v>
      </c>
      <c r="J50" s="1185"/>
    </row>
    <row r="51" spans="2:17" s="60" customFormat="1" ht="19" x14ac:dyDescent="0.25">
      <c r="B51" s="342"/>
      <c r="C51" s="61"/>
      <c r="D51" s="62" t="s">
        <v>221</v>
      </c>
      <c r="E51" s="107"/>
      <c r="H51" s="113">
        <f>-E51</f>
        <v>0</v>
      </c>
      <c r="J51" s="1185"/>
    </row>
    <row r="52" spans="2:17" s="57" customFormat="1" ht="19" x14ac:dyDescent="0.25">
      <c r="B52" s="371"/>
      <c r="D52" s="63" t="s">
        <v>222</v>
      </c>
      <c r="E52" s="108">
        <f>SUM(E50:E51)</f>
        <v>97.811619718309856</v>
      </c>
      <c r="G52" s="63"/>
      <c r="H52" s="114">
        <f>SUM(H50:H51)</f>
        <v>83.139084507042256</v>
      </c>
      <c r="I52" s="64"/>
      <c r="J52" s="1185"/>
    </row>
    <row r="53" spans="2:17" s="57" customFormat="1" ht="19" x14ac:dyDescent="0.25">
      <c r="D53" s="201" t="s">
        <v>278</v>
      </c>
      <c r="E53" s="202">
        <f>9+86</f>
        <v>95</v>
      </c>
      <c r="F53" s="383" t="s">
        <v>224</v>
      </c>
      <c r="G53" s="204"/>
      <c r="H53" s="115"/>
      <c r="I53" s="66"/>
      <c r="J53" s="1185"/>
    </row>
    <row r="54" spans="2:17" s="57" customFormat="1" ht="19" x14ac:dyDescent="0.25">
      <c r="D54" s="71" t="s">
        <v>225</v>
      </c>
      <c r="E54" s="109">
        <f>E53-E52</f>
        <v>-2.8116197183098564</v>
      </c>
      <c r="G54" s="65"/>
      <c r="H54" s="116">
        <f>H53-H52</f>
        <v>-83.139084507042256</v>
      </c>
      <c r="I54" s="66"/>
      <c r="J54" s="1185"/>
    </row>
    <row r="55" spans="2:17" s="57" customFormat="1" ht="20" thickBot="1" x14ac:dyDescent="0.3">
      <c r="D55" s="66" t="s">
        <v>226</v>
      </c>
      <c r="E55" s="105">
        <f>IFERROR(($D$5*5)/(E52/3),0)</f>
        <v>17.79313137858416</v>
      </c>
      <c r="H55" s="117">
        <f>IFERROR(5*$D$8/(H52/3),0)</f>
        <v>18.939648052855599</v>
      </c>
      <c r="J55" s="1186"/>
    </row>
    <row r="57" spans="2:17" x14ac:dyDescent="0.2">
      <c r="D57" t="s">
        <v>227</v>
      </c>
      <c r="E57" s="152">
        <f>+$E$49+$E$48+$H$48+$H$49+$D$44+$E$44+$F$44+$G$44+$H$44+$I$44</f>
        <v>111.95070422535211</v>
      </c>
      <c r="F57" s="11" t="s">
        <v>228</v>
      </c>
    </row>
    <row r="58" spans="2:17" x14ac:dyDescent="0.2">
      <c r="E58" s="953">
        <f>E57*2507</f>
        <v>280660.41549295775</v>
      </c>
    </row>
    <row r="61" spans="2:17" ht="68" x14ac:dyDescent="0.25">
      <c r="B61" s="622" t="s">
        <v>279</v>
      </c>
      <c r="C61" s="963" t="s">
        <v>230</v>
      </c>
      <c r="D61" s="964" t="s">
        <v>231</v>
      </c>
      <c r="E61" s="963" t="s">
        <v>232</v>
      </c>
      <c r="F61" s="963" t="s">
        <v>233</v>
      </c>
      <c r="G61" s="963" t="s">
        <v>234</v>
      </c>
      <c r="H61" s="963" t="s">
        <v>235</v>
      </c>
      <c r="I61" s="963" t="s">
        <v>236</v>
      </c>
      <c r="J61" s="963" t="s">
        <v>237</v>
      </c>
      <c r="K61" s="963" t="s">
        <v>238</v>
      </c>
      <c r="L61" s="963" t="s">
        <v>239</v>
      </c>
      <c r="M61" s="963" t="s">
        <v>240</v>
      </c>
      <c r="N61" s="963" t="s">
        <v>241</v>
      </c>
      <c r="O61" s="963" t="s">
        <v>242</v>
      </c>
      <c r="P61" s="963" t="s">
        <v>243</v>
      </c>
      <c r="Q61" s="963" t="s">
        <v>244</v>
      </c>
    </row>
    <row r="62" spans="2:17" ht="17" x14ac:dyDescent="0.25">
      <c r="B62" s="993">
        <v>1</v>
      </c>
      <c r="C62" s="995" t="s">
        <v>876</v>
      </c>
      <c r="D62" s="995" t="s">
        <v>287</v>
      </c>
      <c r="E62" s="996">
        <v>7605</v>
      </c>
      <c r="F62" s="997">
        <v>3042</v>
      </c>
      <c r="G62" s="994" t="s">
        <v>284</v>
      </c>
      <c r="H62" s="995" t="s">
        <v>285</v>
      </c>
      <c r="I62" s="965">
        <v>1</v>
      </c>
      <c r="J62" s="965" t="s">
        <v>249</v>
      </c>
      <c r="K62" s="965"/>
      <c r="L62" s="966">
        <v>30</v>
      </c>
      <c r="M62" s="966"/>
      <c r="N62" s="966"/>
      <c r="O62" s="969"/>
      <c r="P62" s="970"/>
      <c r="Q62" s="965" t="s">
        <v>249</v>
      </c>
    </row>
    <row r="63" spans="2:17" ht="17" x14ac:dyDescent="0.25">
      <c r="B63" s="993">
        <v>1</v>
      </c>
      <c r="C63" s="994" t="s">
        <v>877</v>
      </c>
      <c r="D63" s="995" t="s">
        <v>246</v>
      </c>
      <c r="E63" s="996">
        <v>6139</v>
      </c>
      <c r="F63" s="997">
        <v>2455.6</v>
      </c>
      <c r="G63" s="994" t="s">
        <v>252</v>
      </c>
      <c r="H63" s="994" t="s">
        <v>285</v>
      </c>
      <c r="I63" s="966">
        <v>1</v>
      </c>
      <c r="J63" s="966" t="s">
        <v>249</v>
      </c>
      <c r="K63" s="965"/>
      <c r="L63" s="966">
        <v>30</v>
      </c>
      <c r="M63" s="966"/>
      <c r="N63" s="966"/>
      <c r="O63" s="969"/>
      <c r="P63" s="971"/>
      <c r="Q63" s="965" t="s">
        <v>249</v>
      </c>
    </row>
    <row r="64" spans="2:17" ht="17" x14ac:dyDescent="0.25">
      <c r="B64" s="993">
        <v>1</v>
      </c>
      <c r="C64" s="994" t="s">
        <v>878</v>
      </c>
      <c r="D64" s="995" t="s">
        <v>246</v>
      </c>
      <c r="E64" s="996">
        <v>7985</v>
      </c>
      <c r="F64" s="997">
        <v>3194</v>
      </c>
      <c r="G64" s="994" t="s">
        <v>284</v>
      </c>
      <c r="H64" s="994" t="s">
        <v>285</v>
      </c>
      <c r="I64" s="966">
        <v>1</v>
      </c>
      <c r="J64" s="966" t="s">
        <v>249</v>
      </c>
      <c r="K64" s="972"/>
      <c r="L64" s="966">
        <v>30</v>
      </c>
      <c r="M64" s="966"/>
      <c r="N64" s="966"/>
      <c r="O64" s="969"/>
      <c r="P64" s="971"/>
      <c r="Q64" s="965" t="s">
        <v>249</v>
      </c>
    </row>
    <row r="65" spans="2:17" ht="17" x14ac:dyDescent="0.25">
      <c r="C65" s="973" t="s">
        <v>879</v>
      </c>
      <c r="D65" s="965" t="s">
        <v>246</v>
      </c>
      <c r="E65" s="967">
        <v>5940</v>
      </c>
      <c r="F65" s="968">
        <v>2376</v>
      </c>
      <c r="G65" s="966" t="s">
        <v>252</v>
      </c>
      <c r="H65" s="973" t="s">
        <v>248</v>
      </c>
      <c r="I65" s="973">
        <v>3</v>
      </c>
      <c r="J65" s="973">
        <v>1</v>
      </c>
      <c r="K65" s="973"/>
      <c r="L65" s="966">
        <v>20</v>
      </c>
      <c r="M65" s="966"/>
      <c r="N65" s="966"/>
      <c r="O65" s="969"/>
      <c r="P65" s="974"/>
      <c r="Q65" s="965" t="s">
        <v>249</v>
      </c>
    </row>
    <row r="66" spans="2:17" ht="102" x14ac:dyDescent="0.25">
      <c r="C66" s="975" t="s">
        <v>880</v>
      </c>
      <c r="D66" s="976" t="s">
        <v>310</v>
      </c>
      <c r="E66" s="978">
        <v>6618</v>
      </c>
      <c r="F66" s="979">
        <v>2647.2</v>
      </c>
      <c r="G66" s="977" t="s">
        <v>284</v>
      </c>
      <c r="H66" s="975" t="s">
        <v>248</v>
      </c>
      <c r="I66" s="975"/>
      <c r="J66" s="975"/>
      <c r="K66" s="975" t="s">
        <v>881</v>
      </c>
      <c r="L66" s="977"/>
      <c r="M66" s="977"/>
      <c r="N66" s="977"/>
      <c r="O66" s="980"/>
      <c r="P66" s="981"/>
      <c r="Q66" s="976" t="s">
        <v>796</v>
      </c>
    </row>
    <row r="67" spans="2:17" x14ac:dyDescent="0.2">
      <c r="B67" s="268">
        <f>SUM(B62:B66)</f>
        <v>3</v>
      </c>
      <c r="J67" s="443">
        <f>SUM(J62:J64)</f>
        <v>0</v>
      </c>
    </row>
  </sheetData>
  <sheetProtection algorithmName="SHA-512" hashValue="yT8rWwfICUuz6CyTCZmzYXYkxuwOnQVPf29WXuijzbPpWegKfiQh8RJ1b2nhHcPfF0t6q7k0blFPHwM9SoJ8tg==" saltValue="8lwd1z2i/Zg3LXNF69sV+A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95548F0-BB32-4D57-92EF-12C4381FBCC2}">
          <x14:formula1>
            <xm:f>'Data Elements'!$F$3:$F$31</xm:f>
          </x14:formula1>
          <xm:sqref>D2</xm:sqref>
        </x14:dataValidation>
        <x14:dataValidation type="list" allowBlank="1" showInputMessage="1" showErrorMessage="1" xr:uid="{033FB1EB-31F3-4AC5-A7F3-134900C00ECE}">
          <x14:formula1>
            <xm:f>'Data Elements'!$A$3:$A$101</xm:f>
          </x14:formula1>
          <xm:sqref>C36</xm:sqref>
        </x14:dataValidation>
        <x14:dataValidation type="list" allowBlank="1" showInputMessage="1" showErrorMessage="1" xr:uid="{BE80851C-4703-403A-B289-EC5D82227814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CCA3-0455-406D-AF4D-3B0C9F09F821}">
  <sheetPr>
    <tabColor rgb="FF000000"/>
  </sheetPr>
  <dimension ref="A1:M80"/>
  <sheetViews>
    <sheetView topLeftCell="D27" workbookViewId="0">
      <selection activeCell="H50" sqref="H50"/>
    </sheetView>
    <sheetView topLeftCell="A71" workbookViewId="1">
      <selection activeCell="B61" sqref="B61:B80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2.33203125" customWidth="1"/>
    <col min="4" max="4" width="20.6640625" customWidth="1"/>
    <col min="5" max="5" width="21" customWidth="1"/>
    <col min="6" max="6" width="21.1640625" customWidth="1"/>
    <col min="7" max="7" width="19.6640625" customWidth="1"/>
    <col min="8" max="8" width="18.1640625" customWidth="1"/>
    <col min="9" max="9" width="20.33203125" customWidth="1"/>
    <col min="10" max="10" width="110" customWidth="1"/>
  </cols>
  <sheetData>
    <row r="1" spans="1:10" s="7" customFormat="1" ht="22" thickBot="1" x14ac:dyDescent="0.3">
      <c r="A1" s="7" t="s">
        <v>882</v>
      </c>
      <c r="H1" t="s">
        <v>180</v>
      </c>
      <c r="I1" s="886">
        <v>7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76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13.5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540.43500000000006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20.627290076335882</v>
      </c>
    </row>
    <row r="7" spans="1:10" x14ac:dyDescent="0.2">
      <c r="B7" s="1180" t="s">
        <v>186</v>
      </c>
      <c r="C7" s="16" t="s">
        <v>187</v>
      </c>
      <c r="D7" s="173">
        <v>13.5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488.96500000000003</v>
      </c>
    </row>
    <row r="9" spans="1:10" ht="17" thickBot="1" x14ac:dyDescent="0.25">
      <c r="B9" s="1182"/>
      <c r="C9" s="19" t="s">
        <v>10</v>
      </c>
      <c r="D9" s="20">
        <f>VLOOKUP($D$2,Overview!$A$4:$AC$31,26,0)</f>
        <v>18.662786259541985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27" t="s">
        <v>883</v>
      </c>
      <c r="D21" s="118">
        <v>3</v>
      </c>
      <c r="E21" s="118"/>
      <c r="F21" s="118"/>
      <c r="G21" s="119"/>
      <c r="H21" s="119"/>
      <c r="I21" s="120"/>
      <c r="J21" s="35" t="s">
        <v>884</v>
      </c>
    </row>
    <row r="22" spans="2:10" x14ac:dyDescent="0.2">
      <c r="B22" s="36">
        <v>2</v>
      </c>
      <c r="C22" s="227" t="s">
        <v>885</v>
      </c>
      <c r="D22" s="121"/>
      <c r="E22" s="121"/>
      <c r="F22" s="121">
        <v>3</v>
      </c>
      <c r="G22" s="122"/>
      <c r="H22" s="122"/>
      <c r="I22" s="122">
        <v>3</v>
      </c>
      <c r="J22" s="38" t="s">
        <v>886</v>
      </c>
    </row>
    <row r="23" spans="2:10" x14ac:dyDescent="0.2">
      <c r="B23" s="36">
        <v>3</v>
      </c>
      <c r="C23" s="227" t="s">
        <v>887</v>
      </c>
      <c r="D23" s="121"/>
      <c r="E23" s="121"/>
      <c r="F23" s="121"/>
      <c r="G23" s="122"/>
      <c r="H23" s="122"/>
      <c r="I23" s="122">
        <v>12</v>
      </c>
      <c r="J23" s="38" t="s">
        <v>888</v>
      </c>
    </row>
    <row r="24" spans="2:10" x14ac:dyDescent="0.2">
      <c r="B24" s="36">
        <v>4</v>
      </c>
      <c r="C24" s="227" t="s">
        <v>889</v>
      </c>
      <c r="D24" s="121">
        <v>3</v>
      </c>
      <c r="E24" s="121"/>
      <c r="F24" s="121"/>
      <c r="G24" s="122"/>
      <c r="H24" s="122"/>
      <c r="I24" s="122"/>
      <c r="J24" s="282" t="s">
        <v>890</v>
      </c>
    </row>
    <row r="25" spans="2:10" x14ac:dyDescent="0.2">
      <c r="B25" s="36">
        <v>5</v>
      </c>
      <c r="C25" s="227" t="s">
        <v>891</v>
      </c>
      <c r="D25" s="121"/>
      <c r="E25" s="121">
        <v>2</v>
      </c>
      <c r="F25" s="121">
        <v>4</v>
      </c>
      <c r="G25" s="122"/>
      <c r="H25" s="122">
        <f>2+3</f>
        <v>5</v>
      </c>
      <c r="I25" s="122">
        <v>1</v>
      </c>
      <c r="J25" s="282" t="s">
        <v>892</v>
      </c>
    </row>
    <row r="26" spans="2:10" x14ac:dyDescent="0.2">
      <c r="B26" s="36">
        <v>6</v>
      </c>
      <c r="C26" s="901" t="s">
        <v>893</v>
      </c>
      <c r="D26" s="121">
        <v>9</v>
      </c>
      <c r="E26" s="121"/>
      <c r="F26" s="121"/>
      <c r="G26" s="122">
        <v>9</v>
      </c>
      <c r="H26" s="122"/>
      <c r="I26" s="122"/>
      <c r="J26" s="282" t="s">
        <v>894</v>
      </c>
    </row>
    <row r="27" spans="2:10" x14ac:dyDescent="0.2">
      <c r="B27" s="36">
        <v>7</v>
      </c>
      <c r="C27" s="227" t="s">
        <v>895</v>
      </c>
      <c r="D27" s="121"/>
      <c r="E27" s="121">
        <v>3</v>
      </c>
      <c r="F27" s="121"/>
      <c r="G27" s="122"/>
      <c r="H27" s="122"/>
      <c r="I27" s="122">
        <v>6</v>
      </c>
      <c r="J27" s="282" t="s">
        <v>896</v>
      </c>
    </row>
    <row r="28" spans="2:10" x14ac:dyDescent="0.2">
      <c r="B28" s="36">
        <v>8</v>
      </c>
      <c r="C28" s="227" t="s">
        <v>897</v>
      </c>
      <c r="D28" s="121"/>
      <c r="E28" s="121"/>
      <c r="F28" s="121">
        <v>6</v>
      </c>
      <c r="G28" s="122"/>
      <c r="H28" s="122"/>
      <c r="I28" s="122">
        <v>12</v>
      </c>
      <c r="J28" s="282" t="s">
        <v>898</v>
      </c>
    </row>
    <row r="29" spans="2:10" x14ac:dyDescent="0.2">
      <c r="B29" s="36">
        <v>9</v>
      </c>
      <c r="C29" s="227" t="s">
        <v>899</v>
      </c>
      <c r="D29" s="121">
        <v>3</v>
      </c>
      <c r="E29" s="121"/>
      <c r="F29" s="121"/>
      <c r="G29" s="122"/>
      <c r="H29" s="122"/>
      <c r="I29" s="122"/>
      <c r="J29" s="282" t="s">
        <v>900</v>
      </c>
    </row>
    <row r="30" spans="2:10" x14ac:dyDescent="0.2">
      <c r="B30" s="36">
        <v>10</v>
      </c>
      <c r="C30" s="227" t="s">
        <v>901</v>
      </c>
      <c r="D30" s="121"/>
      <c r="E30" s="121">
        <v>2</v>
      </c>
      <c r="F30" s="121"/>
      <c r="G30" s="122"/>
      <c r="H30" s="122">
        <v>1</v>
      </c>
      <c r="I30" s="122"/>
      <c r="J30" s="282" t="s">
        <v>902</v>
      </c>
    </row>
    <row r="31" spans="2:10" x14ac:dyDescent="0.2">
      <c r="B31" s="36">
        <v>11</v>
      </c>
      <c r="C31" s="227" t="s">
        <v>903</v>
      </c>
      <c r="D31" s="121"/>
      <c r="E31" s="121"/>
      <c r="F31" s="121">
        <v>12</v>
      </c>
      <c r="G31" s="122"/>
      <c r="H31" s="122"/>
      <c r="I31" s="122">
        <v>12</v>
      </c>
      <c r="J31" s="872" t="s">
        <v>904</v>
      </c>
    </row>
    <row r="32" spans="2:10" x14ac:dyDescent="0.2">
      <c r="B32" s="36">
        <v>12</v>
      </c>
      <c r="C32" s="227" t="s">
        <v>905</v>
      </c>
      <c r="D32" s="121"/>
      <c r="E32" s="121"/>
      <c r="F32" s="121">
        <v>3</v>
      </c>
      <c r="G32" s="122"/>
      <c r="H32" s="122"/>
      <c r="I32" s="122">
        <v>3</v>
      </c>
      <c r="J32" s="872" t="s">
        <v>906</v>
      </c>
    </row>
    <row r="33" spans="2:10" x14ac:dyDescent="0.2">
      <c r="B33" s="36">
        <v>13</v>
      </c>
      <c r="C33" s="227" t="s">
        <v>907</v>
      </c>
      <c r="D33" s="121"/>
      <c r="E33" s="121"/>
      <c r="F33" s="121">
        <v>3</v>
      </c>
      <c r="G33" s="122"/>
      <c r="H33" s="122"/>
      <c r="I33" s="122"/>
      <c r="J33" s="282" t="s">
        <v>908</v>
      </c>
    </row>
    <row r="34" spans="2:10" x14ac:dyDescent="0.2">
      <c r="B34" s="36">
        <v>14</v>
      </c>
      <c r="C34" s="227" t="s">
        <v>909</v>
      </c>
      <c r="D34" s="121"/>
      <c r="E34" s="121">
        <v>3</v>
      </c>
      <c r="F34" s="121"/>
      <c r="G34" s="122"/>
      <c r="H34" s="122">
        <v>3</v>
      </c>
      <c r="I34" s="122"/>
      <c r="J34" s="282" t="s">
        <v>910</v>
      </c>
    </row>
    <row r="35" spans="2:10" x14ac:dyDescent="0.2">
      <c r="B35" s="36">
        <v>15</v>
      </c>
      <c r="C35" s="37" t="s">
        <v>344</v>
      </c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18</v>
      </c>
      <c r="E37" s="128">
        <f t="shared" si="0"/>
        <v>10</v>
      </c>
      <c r="F37" s="128">
        <f t="shared" si="0"/>
        <v>31</v>
      </c>
      <c r="G37" s="129">
        <f t="shared" si="0"/>
        <v>9</v>
      </c>
      <c r="H37" s="129">
        <f t="shared" si="0"/>
        <v>9</v>
      </c>
      <c r="I37" s="129">
        <f t="shared" si="0"/>
        <v>49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284">
        <v>1</v>
      </c>
      <c r="C40" s="351" t="s">
        <v>911</v>
      </c>
      <c r="D40" s="285">
        <v>3</v>
      </c>
      <c r="E40" s="121"/>
      <c r="F40" s="121"/>
      <c r="G40" s="126"/>
      <c r="H40" s="126"/>
      <c r="I40" s="126"/>
      <c r="J40" s="872" t="s">
        <v>912</v>
      </c>
    </row>
    <row r="41" spans="2:10" x14ac:dyDescent="0.2">
      <c r="B41" s="284">
        <v>2</v>
      </c>
      <c r="C41" s="351" t="s">
        <v>913</v>
      </c>
      <c r="D41" s="285">
        <v>3</v>
      </c>
      <c r="E41" s="121"/>
      <c r="F41" s="121"/>
      <c r="G41" s="126"/>
      <c r="H41" s="126"/>
      <c r="I41" s="126"/>
      <c r="J41" s="872" t="s">
        <v>914</v>
      </c>
    </row>
    <row r="42" spans="2:10" x14ac:dyDescent="0.2">
      <c r="B42" s="284">
        <v>3</v>
      </c>
      <c r="C42" s="351" t="s">
        <v>915</v>
      </c>
      <c r="D42" s="285">
        <v>3</v>
      </c>
      <c r="E42" s="121"/>
      <c r="F42" s="121"/>
      <c r="G42" s="126"/>
      <c r="H42" s="126"/>
      <c r="I42" s="126"/>
      <c r="J42" s="872" t="s">
        <v>916</v>
      </c>
    </row>
    <row r="43" spans="2:10" x14ac:dyDescent="0.2">
      <c r="B43" s="349">
        <v>4</v>
      </c>
      <c r="C43" s="351" t="s">
        <v>917</v>
      </c>
      <c r="D43" s="290"/>
      <c r="E43" s="123"/>
      <c r="F43" s="123">
        <v>12</v>
      </c>
      <c r="G43" s="127"/>
      <c r="H43" s="127"/>
      <c r="I43" s="127"/>
      <c r="J43" s="872" t="s">
        <v>918</v>
      </c>
    </row>
    <row r="44" spans="2:10" s="11" customFormat="1" ht="19" x14ac:dyDescent="0.25">
      <c r="B44" s="42"/>
      <c r="C44" s="43" t="s">
        <v>214</v>
      </c>
      <c r="D44" s="128">
        <f>SUM(D40:D43)</f>
        <v>9</v>
      </c>
      <c r="E44" s="128">
        <f t="shared" ref="E44:F44" si="1">SUM(E40:E43)</f>
        <v>0</v>
      </c>
      <c r="F44" s="128">
        <f t="shared" si="1"/>
        <v>12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21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198</v>
      </c>
      <c r="D47" s="58" t="s">
        <v>217</v>
      </c>
      <c r="E47" s="224">
        <f>($D$4*12)-$E$37-$F$37-$D$37</f>
        <v>103</v>
      </c>
      <c r="H47" s="111">
        <f>($D$7*12)-$H$37-$I$37-$G$37</f>
        <v>95</v>
      </c>
      <c r="J47" s="1185" t="s">
        <v>919</v>
      </c>
    </row>
    <row r="48" spans="2:10" s="57" customFormat="1" ht="19" x14ac:dyDescent="0.25">
      <c r="B48" s="231">
        <f t="shared" si="3"/>
        <v>99</v>
      </c>
      <c r="C48" s="58"/>
      <c r="D48" s="58" t="s">
        <v>218</v>
      </c>
      <c r="E48" s="224">
        <f>$E$37+$F$37</f>
        <v>41</v>
      </c>
      <c r="H48" s="111">
        <f>$H$37+$I$37</f>
        <v>58</v>
      </c>
      <c r="J48" s="1185"/>
    </row>
    <row r="49" spans="2:13" s="57" customFormat="1" ht="19" x14ac:dyDescent="0.25">
      <c r="B49" s="231">
        <f t="shared" si="3"/>
        <v>175.351145038168</v>
      </c>
      <c r="C49" s="58"/>
      <c r="D49" s="58" t="s">
        <v>219</v>
      </c>
      <c r="E49" s="224">
        <f>(($D$6-$D$4)*15)-D44</f>
        <v>97.909351145038229</v>
      </c>
      <c r="H49" s="111">
        <f>(($D$9-$D$7)*15)-$G$44</f>
        <v>77.44179389312977</v>
      </c>
      <c r="J49" s="1185"/>
    </row>
    <row r="50" spans="2:13" s="57" customFormat="1" ht="19" x14ac:dyDescent="0.25">
      <c r="B50" s="230">
        <f>SUM(E50:H50)</f>
        <v>472.351145038168</v>
      </c>
      <c r="C50" s="59"/>
      <c r="D50" s="59" t="s">
        <v>220</v>
      </c>
      <c r="E50" s="106">
        <f>SUM(E47:E49)</f>
        <v>241.90935114503822</v>
      </c>
      <c r="H50" s="112">
        <f>SUM(H47:H49)</f>
        <v>230.44179389312978</v>
      </c>
      <c r="J50" s="1185"/>
    </row>
    <row r="51" spans="2:13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3" s="57" customFormat="1" ht="20" thickBot="1" x14ac:dyDescent="0.3">
      <c r="D52" s="63" t="s">
        <v>222</v>
      </c>
      <c r="E52" s="108">
        <f>SUM(E50:E51)</f>
        <v>241.90935114503822</v>
      </c>
      <c r="G52" s="63"/>
      <c r="H52" s="114">
        <f>SUM(H50:H51)</f>
        <v>230.44179389312978</v>
      </c>
      <c r="I52" s="64"/>
      <c r="J52" s="1185"/>
    </row>
    <row r="53" spans="2:13" s="57" customFormat="1" ht="19" x14ac:dyDescent="0.25">
      <c r="D53" s="201" t="s">
        <v>278</v>
      </c>
      <c r="E53" s="202">
        <v>252</v>
      </c>
      <c r="F53" s="383" t="s">
        <v>224</v>
      </c>
      <c r="G53" s="204"/>
      <c r="H53" s="115"/>
      <c r="I53" s="66"/>
      <c r="J53" s="1185"/>
    </row>
    <row r="54" spans="2:13" s="57" customFormat="1" ht="19" x14ac:dyDescent="0.25">
      <c r="D54" s="71" t="s">
        <v>225</v>
      </c>
      <c r="E54" s="109">
        <f>E53-E52</f>
        <v>10.090648854961785</v>
      </c>
      <c r="G54" s="65"/>
      <c r="H54" s="116">
        <f>H53-H52</f>
        <v>-230.44179389312978</v>
      </c>
      <c r="I54" s="66"/>
      <c r="J54" s="1185"/>
    </row>
    <row r="55" spans="2:13" s="57" customFormat="1" ht="20" thickBot="1" x14ac:dyDescent="0.3">
      <c r="D55" s="66" t="s">
        <v>226</v>
      </c>
      <c r="E55" s="105">
        <f>IFERROR(($D$5*5)/(E52/3),0)</f>
        <v>33.510589655294822</v>
      </c>
      <c r="H55" s="117">
        <f>IFERROR(5*$D$8/(H52/3),0)</f>
        <v>31.827885367883631</v>
      </c>
      <c r="J55" s="1186"/>
    </row>
    <row r="57" spans="2:13" x14ac:dyDescent="0.2">
      <c r="D57" t="s">
        <v>227</v>
      </c>
      <c r="E57" s="152">
        <f>+$E$49+$E$48+$H$48+$H$49+$D$44+$E$44+$F$44+$G$44+$H$44+$I$44</f>
        <v>295.351145038168</v>
      </c>
      <c r="F57" s="11" t="s">
        <v>228</v>
      </c>
    </row>
    <row r="58" spans="2:13" x14ac:dyDescent="0.2">
      <c r="E58" s="953">
        <f>E57*2507</f>
        <v>740445.32061068714</v>
      </c>
    </row>
    <row r="61" spans="2:13" ht="68" x14ac:dyDescent="0.25">
      <c r="B61" s="622" t="s">
        <v>279</v>
      </c>
      <c r="C61" s="456" t="s">
        <v>230</v>
      </c>
      <c r="D61" s="457" t="s">
        <v>280</v>
      </c>
      <c r="E61" s="458" t="s">
        <v>234</v>
      </c>
      <c r="F61" s="456" t="s">
        <v>235</v>
      </c>
      <c r="G61" s="459" t="s">
        <v>236</v>
      </c>
      <c r="H61" s="459" t="s">
        <v>237</v>
      </c>
      <c r="I61" s="459" t="s">
        <v>238</v>
      </c>
      <c r="J61" s="458" t="s">
        <v>281</v>
      </c>
      <c r="K61" s="458" t="s">
        <v>282</v>
      </c>
      <c r="L61" s="616" t="s">
        <v>243</v>
      </c>
      <c r="M61" s="617" t="s">
        <v>244</v>
      </c>
    </row>
    <row r="62" spans="2:13" ht="34" x14ac:dyDescent="0.25">
      <c r="B62">
        <v>1</v>
      </c>
      <c r="C62" s="614" t="s">
        <v>920</v>
      </c>
      <c r="D62" s="727" t="s">
        <v>287</v>
      </c>
      <c r="E62" s="591" t="s">
        <v>284</v>
      </c>
      <c r="F62" s="614" t="s">
        <v>285</v>
      </c>
      <c r="G62" s="611">
        <v>1</v>
      </c>
      <c r="H62" s="611" t="s">
        <v>249</v>
      </c>
      <c r="I62" s="611" t="s">
        <v>420</v>
      </c>
      <c r="J62" s="559">
        <v>30</v>
      </c>
      <c r="K62" s="728"/>
      <c r="L62" s="729"/>
      <c r="M62" s="613" t="s">
        <v>249</v>
      </c>
    </row>
    <row r="63" spans="2:13" ht="51" x14ac:dyDescent="0.25">
      <c r="B63">
        <v>1</v>
      </c>
      <c r="C63" s="594" t="s">
        <v>921</v>
      </c>
      <c r="D63" s="727" t="s">
        <v>246</v>
      </c>
      <c r="E63" s="591" t="s">
        <v>252</v>
      </c>
      <c r="F63" s="594" t="s">
        <v>285</v>
      </c>
      <c r="G63" s="611">
        <v>1</v>
      </c>
      <c r="H63" s="611" t="s">
        <v>249</v>
      </c>
      <c r="I63" s="611" t="s">
        <v>922</v>
      </c>
      <c r="J63" s="559">
        <v>30</v>
      </c>
      <c r="K63" s="728"/>
      <c r="L63" s="730"/>
      <c r="M63" s="613" t="s">
        <v>249</v>
      </c>
    </row>
    <row r="64" spans="2:13" ht="34" x14ac:dyDescent="0.25">
      <c r="B64">
        <v>1</v>
      </c>
      <c r="C64" s="594" t="s">
        <v>923</v>
      </c>
      <c r="D64" s="727" t="s">
        <v>246</v>
      </c>
      <c r="E64" s="591" t="s">
        <v>284</v>
      </c>
      <c r="F64" s="594" t="s">
        <v>285</v>
      </c>
      <c r="G64" s="611">
        <v>1</v>
      </c>
      <c r="H64" s="611" t="s">
        <v>249</v>
      </c>
      <c r="I64" s="611"/>
      <c r="J64" s="559">
        <v>30</v>
      </c>
      <c r="K64" s="728"/>
      <c r="L64" s="731"/>
      <c r="M64" s="613" t="s">
        <v>249</v>
      </c>
    </row>
    <row r="65" spans="2:13" ht="34" x14ac:dyDescent="0.25">
      <c r="B65">
        <v>1</v>
      </c>
      <c r="C65" s="732" t="s">
        <v>924</v>
      </c>
      <c r="D65" s="727" t="s">
        <v>251</v>
      </c>
      <c r="E65" s="591" t="s">
        <v>284</v>
      </c>
      <c r="F65" s="732" t="s">
        <v>285</v>
      </c>
      <c r="G65" s="733">
        <v>1</v>
      </c>
      <c r="H65" s="611" t="s">
        <v>249</v>
      </c>
      <c r="I65" s="611" t="s">
        <v>509</v>
      </c>
      <c r="J65" s="559">
        <v>30</v>
      </c>
      <c r="K65" s="728"/>
      <c r="L65" s="734"/>
      <c r="M65" s="613" t="s">
        <v>249</v>
      </c>
    </row>
    <row r="66" spans="2:13" ht="51" x14ac:dyDescent="0.25">
      <c r="C66" s="567" t="s">
        <v>925</v>
      </c>
      <c r="D66" s="708" t="s">
        <v>287</v>
      </c>
      <c r="E66" s="464" t="s">
        <v>284</v>
      </c>
      <c r="F66" s="567" t="s">
        <v>248</v>
      </c>
      <c r="G66" s="643">
        <v>3</v>
      </c>
      <c r="H66" s="598">
        <v>1</v>
      </c>
      <c r="I66" s="598" t="s">
        <v>926</v>
      </c>
      <c r="J66" s="528">
        <v>25.67</v>
      </c>
      <c r="K66" s="709"/>
      <c r="L66" s="710"/>
      <c r="M66" s="470" t="s">
        <v>249</v>
      </c>
    </row>
    <row r="67" spans="2:13" ht="34" x14ac:dyDescent="0.25">
      <c r="C67" s="567" t="s">
        <v>927</v>
      </c>
      <c r="D67" s="708" t="s">
        <v>287</v>
      </c>
      <c r="E67" s="464" t="s">
        <v>284</v>
      </c>
      <c r="F67" s="567" t="s">
        <v>248</v>
      </c>
      <c r="G67" s="598">
        <v>3</v>
      </c>
      <c r="H67" s="598">
        <v>1</v>
      </c>
      <c r="I67" s="598" t="s">
        <v>509</v>
      </c>
      <c r="J67" s="528">
        <v>17.670000000000002</v>
      </c>
      <c r="K67" s="709"/>
      <c r="L67" s="710"/>
      <c r="M67" s="470" t="s">
        <v>249</v>
      </c>
    </row>
    <row r="68" spans="2:13" ht="34" x14ac:dyDescent="0.25">
      <c r="C68" s="567" t="s">
        <v>928</v>
      </c>
      <c r="D68" s="708" t="s">
        <v>246</v>
      </c>
      <c r="E68" s="464" t="s">
        <v>252</v>
      </c>
      <c r="F68" s="567" t="s">
        <v>248</v>
      </c>
      <c r="G68" s="598">
        <v>3</v>
      </c>
      <c r="H68" s="598">
        <v>1</v>
      </c>
      <c r="I68" s="598"/>
      <c r="J68" s="528">
        <v>24</v>
      </c>
      <c r="K68" s="709"/>
      <c r="L68" s="710"/>
      <c r="M68" s="470" t="s">
        <v>249</v>
      </c>
    </row>
    <row r="69" spans="2:13" ht="34" x14ac:dyDescent="0.25">
      <c r="C69" s="567" t="s">
        <v>929</v>
      </c>
      <c r="D69" s="708" t="s">
        <v>246</v>
      </c>
      <c r="E69" s="464" t="s">
        <v>284</v>
      </c>
      <c r="F69" s="567" t="s">
        <v>248</v>
      </c>
      <c r="G69" s="625">
        <v>3</v>
      </c>
      <c r="H69" s="625">
        <v>1</v>
      </c>
      <c r="I69" s="598"/>
      <c r="J69" s="528">
        <v>21.66</v>
      </c>
      <c r="K69" s="709"/>
      <c r="L69" s="710"/>
      <c r="M69" s="470" t="s">
        <v>249</v>
      </c>
    </row>
    <row r="70" spans="2:13" ht="34" x14ac:dyDescent="0.25">
      <c r="C70" s="567" t="s">
        <v>930</v>
      </c>
      <c r="D70" s="708" t="s">
        <v>246</v>
      </c>
      <c r="E70" s="464" t="s">
        <v>284</v>
      </c>
      <c r="F70" s="567" t="s">
        <v>248</v>
      </c>
      <c r="G70" s="643">
        <v>3</v>
      </c>
      <c r="H70" s="598">
        <v>1</v>
      </c>
      <c r="I70" s="598" t="s">
        <v>509</v>
      </c>
      <c r="J70" s="528">
        <v>27</v>
      </c>
      <c r="K70" s="709"/>
      <c r="L70" s="710"/>
      <c r="M70" s="470" t="s">
        <v>249</v>
      </c>
    </row>
    <row r="71" spans="2:13" ht="34" x14ac:dyDescent="0.25">
      <c r="C71" s="567" t="s">
        <v>931</v>
      </c>
      <c r="D71" s="708" t="s">
        <v>287</v>
      </c>
      <c r="E71" s="464" t="s">
        <v>284</v>
      </c>
      <c r="F71" s="567" t="s">
        <v>248</v>
      </c>
      <c r="G71" s="598">
        <v>3</v>
      </c>
      <c r="H71" s="598">
        <v>1</v>
      </c>
      <c r="I71" s="598" t="s">
        <v>932</v>
      </c>
      <c r="J71" s="528">
        <v>14</v>
      </c>
      <c r="K71" s="709"/>
      <c r="L71" s="710"/>
      <c r="M71" s="470" t="s">
        <v>249</v>
      </c>
    </row>
    <row r="72" spans="2:13" ht="34" x14ac:dyDescent="0.25">
      <c r="C72" s="567" t="s">
        <v>933</v>
      </c>
      <c r="D72" s="708" t="s">
        <v>246</v>
      </c>
      <c r="E72" s="464" t="s">
        <v>252</v>
      </c>
      <c r="F72" s="567" t="s">
        <v>248</v>
      </c>
      <c r="G72" s="643">
        <v>3</v>
      </c>
      <c r="H72" s="598">
        <v>1</v>
      </c>
      <c r="I72" s="598"/>
      <c r="J72" s="528">
        <v>12</v>
      </c>
      <c r="K72" s="709"/>
      <c r="L72" s="710"/>
      <c r="M72" s="470" t="s">
        <v>249</v>
      </c>
    </row>
    <row r="73" spans="2:13" ht="34" x14ac:dyDescent="0.25">
      <c r="C73" s="567" t="s">
        <v>934</v>
      </c>
      <c r="D73" s="708" t="s">
        <v>300</v>
      </c>
      <c r="E73" s="464" t="s">
        <v>252</v>
      </c>
      <c r="F73" s="567" t="s">
        <v>248</v>
      </c>
      <c r="G73" s="625" t="s">
        <v>301</v>
      </c>
      <c r="H73" s="625">
        <v>2</v>
      </c>
      <c r="I73" s="600" t="s">
        <v>423</v>
      </c>
      <c r="J73" s="528">
        <v>27</v>
      </c>
      <c r="K73" s="709"/>
      <c r="L73" s="711"/>
      <c r="M73" s="470" t="s">
        <v>777</v>
      </c>
    </row>
    <row r="74" spans="2:13" ht="17" x14ac:dyDescent="0.25">
      <c r="C74" s="567" t="s">
        <v>935</v>
      </c>
      <c r="D74" s="708" t="s">
        <v>300</v>
      </c>
      <c r="E74" s="464" t="s">
        <v>252</v>
      </c>
      <c r="F74" s="567" t="s">
        <v>248</v>
      </c>
      <c r="G74" s="625" t="s">
        <v>301</v>
      </c>
      <c r="H74" s="625">
        <v>2</v>
      </c>
      <c r="I74" s="600"/>
      <c r="J74" s="528">
        <v>26</v>
      </c>
      <c r="K74" s="709"/>
      <c r="L74" s="711"/>
      <c r="M74" s="470" t="s">
        <v>604</v>
      </c>
    </row>
    <row r="75" spans="2:13" ht="17" x14ac:dyDescent="0.25">
      <c r="C75" s="567" t="s">
        <v>936</v>
      </c>
      <c r="D75" s="708" t="s">
        <v>300</v>
      </c>
      <c r="E75" s="464" t="s">
        <v>252</v>
      </c>
      <c r="F75" s="567" t="s">
        <v>248</v>
      </c>
      <c r="G75" s="625" t="s">
        <v>301</v>
      </c>
      <c r="H75" s="625">
        <v>2</v>
      </c>
      <c r="I75" s="598" t="s">
        <v>937</v>
      </c>
      <c r="J75" s="528">
        <v>10</v>
      </c>
      <c r="K75" s="709"/>
      <c r="L75" s="711"/>
      <c r="M75" s="470" t="s">
        <v>359</v>
      </c>
    </row>
    <row r="76" spans="2:13" ht="51" x14ac:dyDescent="0.25">
      <c r="C76" s="626" t="s">
        <v>938</v>
      </c>
      <c r="D76" s="712" t="s">
        <v>641</v>
      </c>
      <c r="E76" s="570" t="s">
        <v>252</v>
      </c>
      <c r="F76" s="626" t="s">
        <v>248</v>
      </c>
      <c r="G76" s="627" t="s">
        <v>301</v>
      </c>
      <c r="H76" s="627">
        <v>2</v>
      </c>
      <c r="I76" s="540" t="s">
        <v>939</v>
      </c>
      <c r="J76" s="538">
        <v>0</v>
      </c>
      <c r="K76" s="713"/>
      <c r="L76" s="714"/>
      <c r="M76" s="629" t="s">
        <v>313</v>
      </c>
    </row>
    <row r="77" spans="2:13" ht="68" x14ac:dyDescent="0.25">
      <c r="C77" s="715" t="s">
        <v>940</v>
      </c>
      <c r="D77" s="716" t="s">
        <v>941</v>
      </c>
      <c r="E77" s="717" t="s">
        <v>252</v>
      </c>
      <c r="F77" s="715" t="s">
        <v>248</v>
      </c>
      <c r="G77" s="718"/>
      <c r="H77" s="718"/>
      <c r="I77" s="719" t="s">
        <v>942</v>
      </c>
      <c r="J77" s="620"/>
      <c r="K77" s="720"/>
      <c r="L77" s="721"/>
      <c r="M77" s="722"/>
    </row>
    <row r="78" spans="2:13" ht="17" x14ac:dyDescent="0.25">
      <c r="C78" s="630" t="s">
        <v>943</v>
      </c>
      <c r="D78" s="723"/>
      <c r="E78" s="583"/>
      <c r="F78" s="630"/>
      <c r="G78" s="631"/>
      <c r="H78" s="631"/>
      <c r="I78" s="609" t="s">
        <v>944</v>
      </c>
      <c r="J78" s="551"/>
      <c r="K78" s="724"/>
      <c r="L78" s="725"/>
      <c r="M78" s="607"/>
    </row>
    <row r="79" spans="2:13" ht="17" x14ac:dyDescent="0.25">
      <c r="C79" s="630" t="s">
        <v>945</v>
      </c>
      <c r="D79" s="723"/>
      <c r="E79" s="583"/>
      <c r="F79" s="630"/>
      <c r="G79" s="631"/>
      <c r="H79" s="631"/>
      <c r="I79" s="609" t="s">
        <v>944</v>
      </c>
      <c r="J79" s="551"/>
      <c r="K79" s="724"/>
      <c r="L79" s="726"/>
      <c r="M79" s="607"/>
    </row>
    <row r="80" spans="2:13" x14ac:dyDescent="0.2">
      <c r="B80" s="268">
        <f>SUM(B62:B79)</f>
        <v>4</v>
      </c>
      <c r="J80" s="443">
        <f>SUM(J62:J65)</f>
        <v>120</v>
      </c>
    </row>
  </sheetData>
  <sheetProtection algorithmName="SHA-512" hashValue="25Jc2VGihga03zR4aFipEjp462qqliSE5vHiSoOs69kRw/3IvqnN0vg2a5i9chFiAqqOVXAnRleVFjUVGc2TTQ==" saltValue="YZa4/mheC96VuCfagCLTXQ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25" right="0.25" top="0.75" bottom="0.75" header="0.3" footer="0.3"/>
  <pageSetup fitToWidth="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A80037-705A-43D5-997D-036A43085E5A}">
          <x14:formula1>
            <xm:f>'Data Elements'!$A$3:$A$101</xm:f>
          </x14:formula1>
          <xm:sqref>C36</xm:sqref>
        </x14:dataValidation>
        <x14:dataValidation type="list" allowBlank="1" showInputMessage="1" showErrorMessage="1" xr:uid="{E4140A34-93DF-4CA3-9F18-713532F43229}">
          <x14:formula1>
            <xm:f>'Data Elements'!$F$3:$F$31</xm:f>
          </x14:formula1>
          <xm:sqref>D2</xm:sqref>
        </x14:dataValidation>
        <x14:dataValidation type="list" allowBlank="1" showInputMessage="1" showErrorMessage="1" xr:uid="{E254F686-BEA7-47A2-AAD6-182CA854A26D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466B-6015-4D99-A423-7295DCA186E8}">
  <sheetPr>
    <tabColor rgb="FF000000"/>
  </sheetPr>
  <dimension ref="A1:R78"/>
  <sheetViews>
    <sheetView topLeftCell="A32" workbookViewId="0">
      <selection activeCell="H50" sqref="H50"/>
    </sheetView>
    <sheetView topLeftCell="A60" workbookViewId="1">
      <selection activeCell="A75" sqref="A75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20" customWidth="1"/>
    <col min="4" max="7" width="14.6640625" customWidth="1"/>
    <col min="8" max="8" width="13.33203125" customWidth="1"/>
    <col min="9" max="9" width="17.1640625" customWidth="1"/>
    <col min="10" max="10" width="59.33203125" customWidth="1"/>
    <col min="18" max="18" width="36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77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8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176.505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9.2410994764397891</v>
      </c>
    </row>
    <row r="7" spans="1:10" x14ac:dyDescent="0.2">
      <c r="B7" s="1180" t="s">
        <v>186</v>
      </c>
      <c r="C7" s="16" t="s">
        <v>187</v>
      </c>
      <c r="D7" s="173">
        <v>8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159.69499999999999</v>
      </c>
    </row>
    <row r="9" spans="1:10" ht="17" thickBot="1" x14ac:dyDescent="0.25">
      <c r="B9" s="1182"/>
      <c r="C9" s="19" t="s">
        <v>10</v>
      </c>
      <c r="D9" s="20">
        <f>VLOOKUP($D$2,Overview!$A$4:$AC$31,26,0)</f>
        <v>8.3609947643979048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2" ht="16.25" customHeight="1" x14ac:dyDescent="0.2">
      <c r="B17" s="156"/>
      <c r="C17" s="155" t="s">
        <v>191</v>
      </c>
      <c r="J17" s="25"/>
    </row>
    <row r="18" spans="2:12" ht="16.25" customHeight="1" x14ac:dyDescent="0.2">
      <c r="B18" s="156"/>
      <c r="C18" s="155" t="s">
        <v>192</v>
      </c>
      <c r="J18" s="25"/>
    </row>
    <row r="19" spans="2:12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2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2" ht="17" x14ac:dyDescent="0.2">
      <c r="B21" s="1078">
        <v>1</v>
      </c>
      <c r="C21" s="227" t="s">
        <v>946</v>
      </c>
      <c r="D21" s="118"/>
      <c r="E21" s="118"/>
      <c r="F21" s="118">
        <v>12</v>
      </c>
      <c r="G21" s="119"/>
      <c r="H21" s="119"/>
      <c r="I21" s="120"/>
      <c r="J21" s="336" t="s">
        <v>688</v>
      </c>
    </row>
    <row r="22" spans="2:12" x14ac:dyDescent="0.2">
      <c r="B22" s="1077">
        <v>2</v>
      </c>
      <c r="C22" s="227" t="s">
        <v>947</v>
      </c>
      <c r="D22" s="121"/>
      <c r="E22" s="121"/>
      <c r="F22" s="121"/>
      <c r="G22" s="122"/>
      <c r="H22" s="122"/>
      <c r="I22" s="122"/>
      <c r="J22" s="38"/>
    </row>
    <row r="23" spans="2:12" s="289" customFormat="1" x14ac:dyDescent="0.2">
      <c r="B23" s="1079">
        <v>3</v>
      </c>
      <c r="C23" s="768" t="s">
        <v>948</v>
      </c>
      <c r="D23" s="376"/>
      <c r="E23" s="376"/>
      <c r="F23" s="376">
        <v>9</v>
      </c>
      <c r="G23" s="769"/>
      <c r="H23" s="769"/>
      <c r="I23" s="769"/>
      <c r="J23" s="873" t="s">
        <v>949</v>
      </c>
    </row>
    <row r="24" spans="2:12" x14ac:dyDescent="0.2">
      <c r="B24" s="1077">
        <v>4</v>
      </c>
      <c r="C24" s="227" t="s">
        <v>950</v>
      </c>
      <c r="D24" s="121"/>
      <c r="E24" s="121"/>
      <c r="F24" s="121">
        <v>3</v>
      </c>
      <c r="G24" s="122"/>
      <c r="H24" s="122"/>
      <c r="I24" s="122"/>
      <c r="J24" s="38" t="s">
        <v>951</v>
      </c>
    </row>
    <row r="25" spans="2:12" x14ac:dyDescent="0.2">
      <c r="B25" s="1077">
        <v>5</v>
      </c>
      <c r="C25" s="227" t="s">
        <v>952</v>
      </c>
      <c r="D25" s="121"/>
      <c r="E25" s="376">
        <v>6</v>
      </c>
      <c r="F25" s="121">
        <v>3</v>
      </c>
      <c r="G25" s="122"/>
      <c r="H25" s="122">
        <v>6</v>
      </c>
      <c r="I25" s="122"/>
      <c r="J25" s="35" t="s">
        <v>953</v>
      </c>
    </row>
    <row r="26" spans="2:12" x14ac:dyDescent="0.2">
      <c r="B26" s="36">
        <v>6</v>
      </c>
      <c r="C26" s="227" t="s">
        <v>954</v>
      </c>
      <c r="D26" s="121"/>
      <c r="E26" s="121"/>
      <c r="F26" s="121">
        <v>3</v>
      </c>
      <c r="G26" s="122"/>
      <c r="H26" s="122"/>
      <c r="I26" s="122"/>
      <c r="J26" s="38" t="s">
        <v>951</v>
      </c>
    </row>
    <row r="27" spans="2:12" x14ac:dyDescent="0.2">
      <c r="B27" s="1077">
        <v>7</v>
      </c>
      <c r="C27" s="227" t="s">
        <v>955</v>
      </c>
      <c r="D27" s="121"/>
      <c r="E27" s="121"/>
      <c r="F27" s="121" t="s">
        <v>45</v>
      </c>
      <c r="G27" s="122"/>
      <c r="H27" s="122"/>
      <c r="I27" s="122"/>
      <c r="J27" s="38"/>
      <c r="K27" t="s">
        <v>956</v>
      </c>
    </row>
    <row r="28" spans="2:12" x14ac:dyDescent="0.2">
      <c r="B28" s="36">
        <v>8</v>
      </c>
      <c r="C28" s="227" t="s">
        <v>344</v>
      </c>
      <c r="D28" s="121"/>
      <c r="E28" s="121">
        <v>3</v>
      </c>
      <c r="F28" s="121"/>
      <c r="G28" s="122"/>
      <c r="H28" s="122">
        <v>3</v>
      </c>
      <c r="I28" s="122"/>
      <c r="J28" s="38" t="s">
        <v>545</v>
      </c>
      <c r="K28" t="s">
        <v>957</v>
      </c>
    </row>
    <row r="29" spans="2:12" x14ac:dyDescent="0.2">
      <c r="B29" s="36">
        <v>9</v>
      </c>
      <c r="C29" s="37" t="s">
        <v>344</v>
      </c>
      <c r="D29" s="121"/>
      <c r="E29" s="121">
        <v>3</v>
      </c>
      <c r="F29" s="121"/>
      <c r="G29" s="122"/>
      <c r="H29" s="122"/>
      <c r="I29" s="122"/>
      <c r="J29" s="38" t="s">
        <v>958</v>
      </c>
    </row>
    <row r="30" spans="2:12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2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  <c r="L31" t="s">
        <v>45</v>
      </c>
    </row>
    <row r="32" spans="2:12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12</v>
      </c>
      <c r="F37" s="128">
        <f t="shared" si="0"/>
        <v>30</v>
      </c>
      <c r="G37" s="129">
        <f t="shared" si="0"/>
        <v>0</v>
      </c>
      <c r="H37" s="129">
        <f>SUM(H21:H36)</f>
        <v>9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284">
        <v>1</v>
      </c>
      <c r="C40" s="1158" t="s">
        <v>959</v>
      </c>
      <c r="D40" s="1081"/>
      <c r="E40" s="285"/>
      <c r="F40" s="121">
        <v>15</v>
      </c>
      <c r="G40" s="126"/>
      <c r="H40" s="126"/>
      <c r="I40" s="126"/>
      <c r="J40" s="336" t="s">
        <v>960</v>
      </c>
    </row>
    <row r="41" spans="2:10" x14ac:dyDescent="0.2">
      <c r="B41" s="284">
        <v>2</v>
      </c>
      <c r="C41" s="1158" t="s">
        <v>961</v>
      </c>
      <c r="D41" s="1081">
        <v>3</v>
      </c>
      <c r="E41" s="285"/>
      <c r="F41" s="121"/>
      <c r="G41" s="126"/>
      <c r="H41" s="126"/>
      <c r="I41" s="126"/>
      <c r="J41" s="38" t="s">
        <v>962</v>
      </c>
    </row>
    <row r="42" spans="2:10" ht="17" x14ac:dyDescent="0.2">
      <c r="B42" s="284">
        <v>3</v>
      </c>
      <c r="C42" s="1080" t="s">
        <v>963</v>
      </c>
      <c r="D42" s="1081"/>
      <c r="E42" s="285"/>
      <c r="F42" s="121">
        <v>15</v>
      </c>
      <c r="G42" s="126"/>
      <c r="H42" s="126"/>
      <c r="I42" s="126"/>
      <c r="J42" s="336" t="s">
        <v>960</v>
      </c>
    </row>
    <row r="43" spans="2:10" ht="19" x14ac:dyDescent="0.25">
      <c r="B43" s="39">
        <v>4</v>
      </c>
      <c r="C43" s="286"/>
      <c r="D43" s="1081"/>
      <c r="E43" s="290"/>
      <c r="F43" s="123"/>
      <c r="G43" s="127"/>
      <c r="H43" s="127"/>
      <c r="I43" s="127"/>
      <c r="J43" s="41"/>
    </row>
    <row r="44" spans="2:10" s="11" customFormat="1" ht="19" x14ac:dyDescent="0.25">
      <c r="B44" s="42"/>
      <c r="C44" s="43" t="s">
        <v>214</v>
      </c>
      <c r="D44" s="128">
        <f>SUM(D40:D43)</f>
        <v>3</v>
      </c>
      <c r="E44" s="128">
        <f t="shared" ref="E44:F44" si="1">SUM(E40:E43)</f>
        <v>0</v>
      </c>
      <c r="F44" s="128">
        <f t="shared" si="1"/>
        <v>30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33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141</v>
      </c>
      <c r="D47" s="58" t="s">
        <v>217</v>
      </c>
      <c r="E47" s="224">
        <f>($D$4*12)-$E$37-$F$37-$D$37</f>
        <v>54</v>
      </c>
      <c r="H47" s="111">
        <f>($D$7*12)-$H$37-$I$37-$G$37</f>
        <v>87</v>
      </c>
      <c r="J47" s="1185" t="s">
        <v>964</v>
      </c>
    </row>
    <row r="48" spans="2:10" s="57" customFormat="1" ht="19" x14ac:dyDescent="0.25">
      <c r="B48" s="231">
        <f t="shared" si="3"/>
        <v>51</v>
      </c>
      <c r="C48" s="58"/>
      <c r="D48" s="58" t="s">
        <v>218</v>
      </c>
      <c r="E48" s="224">
        <f>$E$37+$F$37</f>
        <v>42</v>
      </c>
      <c r="H48" s="111">
        <f>$H$37+$I$37</f>
        <v>9</v>
      </c>
      <c r="J48" s="1185"/>
    </row>
    <row r="49" spans="2:18" s="57" customFormat="1" ht="19" x14ac:dyDescent="0.25">
      <c r="B49" s="231">
        <f t="shared" si="3"/>
        <v>21.031413612565409</v>
      </c>
      <c r="C49" s="58"/>
      <c r="D49" s="58" t="s">
        <v>219</v>
      </c>
      <c r="E49" s="224">
        <f>(($D$6-$D$4)*15)-D44</f>
        <v>15.616492146596837</v>
      </c>
      <c r="H49" s="111">
        <f>(($D$9-$D$7)*15)-$G$44</f>
        <v>5.4149214659685718</v>
      </c>
      <c r="J49" s="1185"/>
    </row>
    <row r="50" spans="2:18" s="57" customFormat="1" ht="20" thickBot="1" x14ac:dyDescent="0.3">
      <c r="B50" s="230">
        <f>SUM(E50:H50)</f>
        <v>213.03141361256542</v>
      </c>
      <c r="C50" s="59"/>
      <c r="D50" s="59" t="s">
        <v>220</v>
      </c>
      <c r="E50" s="106">
        <f>SUM(E47:E49)</f>
        <v>111.61649214659684</v>
      </c>
      <c r="H50" s="112">
        <f>SUM(H47:H49)</f>
        <v>101.41492146596858</v>
      </c>
      <c r="J50" s="1185"/>
    </row>
    <row r="51" spans="2:18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8" s="57" customFormat="1" ht="20" thickBot="1" x14ac:dyDescent="0.3">
      <c r="D52" s="63" t="s">
        <v>222</v>
      </c>
      <c r="E52" s="108">
        <f>SUM(E50:E51)</f>
        <v>111.61649214659684</v>
      </c>
      <c r="G52" s="63"/>
      <c r="H52" s="114">
        <f>SUM(H50:H51)</f>
        <v>101.41492146596858</v>
      </c>
      <c r="I52" s="64"/>
      <c r="J52" s="1185"/>
    </row>
    <row r="53" spans="2:18" s="57" customFormat="1" ht="19" x14ac:dyDescent="0.25">
      <c r="D53" s="201" t="s">
        <v>278</v>
      </c>
      <c r="E53" s="202">
        <v>102</v>
      </c>
      <c r="F53" s="383" t="s">
        <v>224</v>
      </c>
      <c r="G53" s="204"/>
      <c r="H53" s="115"/>
      <c r="I53" s="66"/>
      <c r="J53" s="1185"/>
    </row>
    <row r="54" spans="2:18" s="57" customFormat="1" ht="19" x14ac:dyDescent="0.25">
      <c r="D54" s="71" t="s">
        <v>225</v>
      </c>
      <c r="E54" s="109">
        <f>E53-E52</f>
        <v>-9.6164921465968405</v>
      </c>
      <c r="G54" s="65"/>
      <c r="H54" s="116">
        <f>H53-H52</f>
        <v>-101.41492146596858</v>
      </c>
      <c r="I54" s="66"/>
      <c r="J54" s="1185"/>
    </row>
    <row r="55" spans="2:18" s="57" customFormat="1" ht="20" thickBot="1" x14ac:dyDescent="0.3">
      <c r="D55" s="66" t="s">
        <v>226</v>
      </c>
      <c r="E55" s="105">
        <f>IFERROR(($D$5*5)/(E52/3),0)</f>
        <v>23.720284960422166</v>
      </c>
      <c r="H55" s="117">
        <f>IFERROR(5*$D$8/(H52/3),0)</f>
        <v>23.620044914237038</v>
      </c>
      <c r="J55" s="1186"/>
    </row>
    <row r="57" spans="2:18" x14ac:dyDescent="0.2">
      <c r="D57" t="s">
        <v>227</v>
      </c>
      <c r="E57" s="152">
        <f>+$E$49+$E$48+$H$48+$H$49+$D$44+$E$44+$F$44+$G$44+$H$44+$I$44</f>
        <v>105.03141361256542</v>
      </c>
      <c r="F57" s="11" t="s">
        <v>228</v>
      </c>
    </row>
    <row r="58" spans="2:18" x14ac:dyDescent="0.2">
      <c r="E58" s="953">
        <f>E57*2507</f>
        <v>263313.75392670149</v>
      </c>
    </row>
    <row r="62" spans="2:18" x14ac:dyDescent="0.2">
      <c r="B62" s="1082" t="s">
        <v>965</v>
      </c>
    </row>
    <row r="63" spans="2:18" ht="34" x14ac:dyDescent="0.25">
      <c r="B63" s="622" t="s">
        <v>279</v>
      </c>
      <c r="C63" s="387" t="s">
        <v>230</v>
      </c>
      <c r="D63" s="1042" t="s">
        <v>231</v>
      </c>
      <c r="E63" s="1029" t="s">
        <v>232</v>
      </c>
      <c r="F63" s="1029" t="s">
        <v>233</v>
      </c>
      <c r="G63" s="1029" t="s">
        <v>234</v>
      </c>
      <c r="H63" s="1029" t="s">
        <v>235</v>
      </c>
      <c r="I63" s="1029" t="s">
        <v>236</v>
      </c>
      <c r="J63" s="1029" t="s">
        <v>237</v>
      </c>
      <c r="K63" s="1029" t="s">
        <v>238</v>
      </c>
      <c r="L63" s="1029" t="s">
        <v>239</v>
      </c>
      <c r="M63" s="1029" t="s">
        <v>240</v>
      </c>
      <c r="N63" s="1029" t="s">
        <v>966</v>
      </c>
      <c r="O63" s="1029" t="s">
        <v>241</v>
      </c>
      <c r="P63" s="1029" t="s">
        <v>242</v>
      </c>
      <c r="Q63" s="1029" t="s">
        <v>243</v>
      </c>
      <c r="R63" s="1029" t="s">
        <v>244</v>
      </c>
    </row>
    <row r="64" spans="2:18" ht="17" x14ac:dyDescent="0.25">
      <c r="B64" t="s">
        <v>45</v>
      </c>
      <c r="C64" s="1032" t="s">
        <v>967</v>
      </c>
      <c r="D64" s="1043" t="s">
        <v>251</v>
      </c>
      <c r="E64" s="1034">
        <v>7814</v>
      </c>
      <c r="F64" s="1035">
        <v>3125.6</v>
      </c>
      <c r="G64" s="1033" t="s">
        <v>770</v>
      </c>
      <c r="H64" s="1033" t="s">
        <v>285</v>
      </c>
      <c r="I64" s="1033">
        <v>1</v>
      </c>
      <c r="J64" s="1033" t="s">
        <v>249</v>
      </c>
      <c r="K64" s="1096" t="s">
        <v>968</v>
      </c>
      <c r="L64" s="1032">
        <v>30</v>
      </c>
      <c r="M64" s="1097">
        <v>0</v>
      </c>
      <c r="N64" s="1097">
        <v>0</v>
      </c>
      <c r="O64" s="1097">
        <v>0</v>
      </c>
      <c r="P64" s="1098" t="s">
        <v>969</v>
      </c>
      <c r="Q64" s="1099" t="s">
        <v>970</v>
      </c>
      <c r="R64" s="1100" t="s">
        <v>249</v>
      </c>
    </row>
    <row r="65" spans="2:18" ht="17" x14ac:dyDescent="0.25">
      <c r="B65" t="s">
        <v>45</v>
      </c>
      <c r="C65" s="1032" t="s">
        <v>971</v>
      </c>
      <c r="D65" s="1043" t="s">
        <v>287</v>
      </c>
      <c r="E65" s="1034">
        <v>7888</v>
      </c>
      <c r="F65" s="1035">
        <v>3155.2</v>
      </c>
      <c r="G65" s="1033" t="s">
        <v>770</v>
      </c>
      <c r="H65" s="1033" t="s">
        <v>285</v>
      </c>
      <c r="I65" s="1033">
        <v>1</v>
      </c>
      <c r="J65" s="1033" t="s">
        <v>249</v>
      </c>
      <c r="K65" s="1096" t="s">
        <v>968</v>
      </c>
      <c r="L65" s="1032">
        <v>30</v>
      </c>
      <c r="M65" s="1097">
        <v>0</v>
      </c>
      <c r="N65" s="1097">
        <v>0</v>
      </c>
      <c r="O65" s="1097">
        <v>0</v>
      </c>
      <c r="P65" s="1098" t="s">
        <v>969</v>
      </c>
      <c r="Q65" s="1099" t="s">
        <v>970</v>
      </c>
      <c r="R65" s="1100" t="s">
        <v>249</v>
      </c>
    </row>
    <row r="66" spans="2:18" ht="17" x14ac:dyDescent="0.25">
      <c r="B66" t="s">
        <v>45</v>
      </c>
      <c r="C66" s="1032" t="s">
        <v>972</v>
      </c>
      <c r="D66" s="1043" t="s">
        <v>246</v>
      </c>
      <c r="E66" s="1034">
        <v>5324</v>
      </c>
      <c r="F66" s="1035">
        <v>2129.6</v>
      </c>
      <c r="G66" s="1033" t="s">
        <v>487</v>
      </c>
      <c r="H66" s="1033" t="s">
        <v>248</v>
      </c>
      <c r="I66" s="1033">
        <v>3</v>
      </c>
      <c r="J66" s="1033">
        <v>1</v>
      </c>
      <c r="K66" s="1096" t="s">
        <v>973</v>
      </c>
      <c r="L66" s="1032">
        <v>18</v>
      </c>
      <c r="M66" s="1097">
        <v>0</v>
      </c>
      <c r="N66" s="1097">
        <v>0</v>
      </c>
      <c r="O66" s="1097">
        <v>0</v>
      </c>
      <c r="P66" s="1098" t="s">
        <v>969</v>
      </c>
      <c r="Q66" s="1038" t="s">
        <v>59</v>
      </c>
      <c r="R66" s="1100" t="s">
        <v>249</v>
      </c>
    </row>
    <row r="67" spans="2:18" ht="17" x14ac:dyDescent="0.25">
      <c r="C67" s="1032" t="s">
        <v>254</v>
      </c>
      <c r="D67" s="1043" t="s">
        <v>246</v>
      </c>
      <c r="E67" s="1034">
        <v>5925</v>
      </c>
      <c r="F67" s="1035">
        <v>2370</v>
      </c>
      <c r="G67" s="1033" t="s">
        <v>482</v>
      </c>
      <c r="H67" s="1033" t="s">
        <v>248</v>
      </c>
      <c r="I67" s="1033">
        <v>3</v>
      </c>
      <c r="J67" s="1033">
        <v>1</v>
      </c>
      <c r="K67" s="1033" t="s">
        <v>59</v>
      </c>
      <c r="L67" s="1033">
        <v>15</v>
      </c>
      <c r="M67" s="1097">
        <v>9</v>
      </c>
      <c r="N67" s="1097">
        <v>9</v>
      </c>
      <c r="O67" s="1033" t="s">
        <v>59</v>
      </c>
      <c r="P67" s="1098" t="s">
        <v>974</v>
      </c>
      <c r="Q67" s="1099" t="s">
        <v>59</v>
      </c>
      <c r="R67" s="1100" t="s">
        <v>249</v>
      </c>
    </row>
    <row r="68" spans="2:18" ht="17" x14ac:dyDescent="0.25">
      <c r="C68" s="1032" t="s">
        <v>975</v>
      </c>
      <c r="D68" s="1043" t="s">
        <v>287</v>
      </c>
      <c r="E68" s="1034">
        <v>6003</v>
      </c>
      <c r="F68" s="1035">
        <v>2401.1999999999998</v>
      </c>
      <c r="G68" s="1033" t="s">
        <v>482</v>
      </c>
      <c r="H68" s="1033" t="s">
        <v>248</v>
      </c>
      <c r="I68" s="1033">
        <v>3</v>
      </c>
      <c r="J68" s="1033">
        <v>1</v>
      </c>
      <c r="K68" s="1033" t="s">
        <v>59</v>
      </c>
      <c r="L68" s="1033">
        <v>6</v>
      </c>
      <c r="M68" s="1097">
        <v>3</v>
      </c>
      <c r="N68" s="1097">
        <v>3</v>
      </c>
      <c r="O68" s="1033" t="s">
        <v>59</v>
      </c>
      <c r="P68" s="1098" t="s">
        <v>974</v>
      </c>
      <c r="Q68" s="1038" t="s">
        <v>59</v>
      </c>
      <c r="R68" s="1100" t="s">
        <v>249</v>
      </c>
    </row>
    <row r="69" spans="2:18" ht="17" x14ac:dyDescent="0.25">
      <c r="C69" s="1032" t="s">
        <v>976</v>
      </c>
      <c r="D69" s="1043" t="s">
        <v>251</v>
      </c>
      <c r="E69" s="1034">
        <v>7078</v>
      </c>
      <c r="F69" s="1035">
        <v>2831.2</v>
      </c>
      <c r="G69" s="1033" t="s">
        <v>482</v>
      </c>
      <c r="H69" s="1033" t="s">
        <v>248</v>
      </c>
      <c r="I69" s="1033">
        <v>3</v>
      </c>
      <c r="J69" s="1033">
        <v>1</v>
      </c>
      <c r="K69" s="1033" t="s">
        <v>59</v>
      </c>
      <c r="L69" s="1033">
        <v>6</v>
      </c>
      <c r="M69" s="1097">
        <v>3</v>
      </c>
      <c r="N69" s="1097">
        <v>3</v>
      </c>
      <c r="O69" s="1033" t="s">
        <v>59</v>
      </c>
      <c r="P69" s="1098" t="s">
        <v>974</v>
      </c>
      <c r="Q69" s="1038" t="s">
        <v>59</v>
      </c>
      <c r="R69" s="1100" t="s">
        <v>249</v>
      </c>
    </row>
    <row r="70" spans="2:18" ht="17" x14ac:dyDescent="0.25">
      <c r="C70" s="1032" t="s">
        <v>977</v>
      </c>
      <c r="D70" s="1043" t="s">
        <v>287</v>
      </c>
      <c r="E70" s="1034">
        <v>5570</v>
      </c>
      <c r="F70" s="1035">
        <v>2228</v>
      </c>
      <c r="G70" s="1033" t="s">
        <v>487</v>
      </c>
      <c r="H70" s="1033" t="s">
        <v>248</v>
      </c>
      <c r="I70" s="1033">
        <v>3</v>
      </c>
      <c r="J70" s="1033">
        <v>1</v>
      </c>
      <c r="K70" s="1033" t="s">
        <v>59</v>
      </c>
      <c r="L70" s="1033">
        <v>6</v>
      </c>
      <c r="M70" s="1097">
        <v>3</v>
      </c>
      <c r="N70" s="1097">
        <v>3</v>
      </c>
      <c r="O70" s="1033" t="s">
        <v>59</v>
      </c>
      <c r="P70" s="1098" t="s">
        <v>974</v>
      </c>
      <c r="Q70" s="1038" t="s">
        <v>59</v>
      </c>
      <c r="R70" s="1100" t="s">
        <v>249</v>
      </c>
    </row>
    <row r="71" spans="2:18" ht="17" x14ac:dyDescent="0.25">
      <c r="C71" s="1032" t="s">
        <v>978</v>
      </c>
      <c r="D71" s="1043" t="s">
        <v>300</v>
      </c>
      <c r="E71" s="1034">
        <v>6359</v>
      </c>
      <c r="F71" s="1035">
        <v>2543.6</v>
      </c>
      <c r="G71" s="1033" t="s">
        <v>482</v>
      </c>
      <c r="H71" s="1033" t="s">
        <v>248</v>
      </c>
      <c r="I71" s="1033" t="s">
        <v>301</v>
      </c>
      <c r="J71" s="1033">
        <v>2</v>
      </c>
      <c r="K71" s="1118"/>
      <c r="L71" s="1117">
        <v>18</v>
      </c>
      <c r="M71" s="1119">
        <v>12</v>
      </c>
      <c r="N71" s="1119">
        <v>12</v>
      </c>
      <c r="O71" s="1033" t="s">
        <v>59</v>
      </c>
      <c r="P71" s="1098" t="s">
        <v>974</v>
      </c>
      <c r="Q71" s="1038" t="s">
        <v>59</v>
      </c>
      <c r="R71" s="1100" t="s">
        <v>666</v>
      </c>
    </row>
    <row r="72" spans="2:18" ht="17" x14ac:dyDescent="0.25">
      <c r="C72" s="1032" t="s">
        <v>979</v>
      </c>
      <c r="D72" s="1043" t="s">
        <v>300</v>
      </c>
      <c r="E72" s="1034">
        <v>5324</v>
      </c>
      <c r="F72" s="1035">
        <v>2129.6</v>
      </c>
      <c r="G72" s="1033" t="s">
        <v>487</v>
      </c>
      <c r="H72" s="1033" t="s">
        <v>248</v>
      </c>
      <c r="I72" s="1033" t="s">
        <v>301</v>
      </c>
      <c r="J72" s="1033">
        <v>2</v>
      </c>
      <c r="K72" s="1033" t="s">
        <v>59</v>
      </c>
      <c r="L72" s="1033">
        <v>12</v>
      </c>
      <c r="M72" s="1097">
        <v>6</v>
      </c>
      <c r="N72" s="1097">
        <v>6</v>
      </c>
      <c r="O72" s="1033" t="s">
        <v>59</v>
      </c>
      <c r="P72" s="1098" t="s">
        <v>974</v>
      </c>
      <c r="Q72" s="1038" t="s">
        <v>59</v>
      </c>
      <c r="R72" s="1100" t="s">
        <v>307</v>
      </c>
    </row>
    <row r="73" spans="2:18" ht="17" x14ac:dyDescent="0.25">
      <c r="C73" s="1032" t="s">
        <v>980</v>
      </c>
      <c r="D73" s="1043" t="s">
        <v>300</v>
      </c>
      <c r="E73" s="1034">
        <v>5198</v>
      </c>
      <c r="F73" s="1035">
        <v>2079.1999999999998</v>
      </c>
      <c r="G73" s="1033" t="s">
        <v>487</v>
      </c>
      <c r="H73" s="1033" t="s">
        <v>248</v>
      </c>
      <c r="I73" s="1033" t="s">
        <v>301</v>
      </c>
      <c r="J73" s="1033">
        <v>2</v>
      </c>
      <c r="K73" s="1096" t="s">
        <v>981</v>
      </c>
      <c r="L73" s="1032">
        <v>6</v>
      </c>
      <c r="M73" s="1097">
        <v>0</v>
      </c>
      <c r="N73" s="1097">
        <v>0</v>
      </c>
      <c r="O73" s="1097">
        <v>0</v>
      </c>
      <c r="P73" s="1098" t="s">
        <v>969</v>
      </c>
      <c r="Q73" s="1038" t="s">
        <v>59</v>
      </c>
      <c r="R73" s="1100" t="s">
        <v>307</v>
      </c>
    </row>
    <row r="74" spans="2:18" ht="17" x14ac:dyDescent="0.25">
      <c r="C74" s="1032" t="s">
        <v>982</v>
      </c>
      <c r="D74" s="1043" t="s">
        <v>300</v>
      </c>
      <c r="E74" s="1034">
        <v>5426</v>
      </c>
      <c r="F74" s="1035">
        <v>2170.4</v>
      </c>
      <c r="G74" s="1033" t="s">
        <v>487</v>
      </c>
      <c r="H74" s="1033" t="s">
        <v>248</v>
      </c>
      <c r="I74" s="1033" t="s">
        <v>301</v>
      </c>
      <c r="J74" s="1033">
        <v>2</v>
      </c>
      <c r="K74" s="1033" t="s">
        <v>59</v>
      </c>
      <c r="L74" s="1033">
        <v>6</v>
      </c>
      <c r="M74" s="1097">
        <v>6</v>
      </c>
      <c r="N74" s="1097">
        <v>6</v>
      </c>
      <c r="O74" s="1033" t="s">
        <v>59</v>
      </c>
      <c r="P74" s="1098" t="s">
        <v>974</v>
      </c>
      <c r="Q74" s="1038" t="s">
        <v>59</v>
      </c>
      <c r="R74" s="1100" t="s">
        <v>307</v>
      </c>
    </row>
    <row r="75" spans="2:18" ht="85" x14ac:dyDescent="0.25">
      <c r="C75" s="1102" t="s">
        <v>983</v>
      </c>
      <c r="D75" s="1103" t="s">
        <v>310</v>
      </c>
      <c r="E75" s="1104">
        <v>5007</v>
      </c>
      <c r="F75" s="1105">
        <v>2002.8</v>
      </c>
      <c r="G75" s="1047" t="s">
        <v>487</v>
      </c>
      <c r="H75" s="1033" t="s">
        <v>248</v>
      </c>
      <c r="I75" s="1047" t="s">
        <v>311</v>
      </c>
      <c r="J75" s="1047">
        <v>2</v>
      </c>
      <c r="K75" s="1106" t="s">
        <v>984</v>
      </c>
      <c r="L75" s="1047" t="s">
        <v>59</v>
      </c>
      <c r="M75" s="1097">
        <v>6</v>
      </c>
      <c r="N75" s="1097">
        <v>6</v>
      </c>
      <c r="O75" s="1033" t="s">
        <v>59</v>
      </c>
      <c r="P75" s="1037" t="s">
        <v>59</v>
      </c>
      <c r="Q75" s="1038" t="s">
        <v>59</v>
      </c>
      <c r="R75" s="1107" t="s">
        <v>613</v>
      </c>
    </row>
    <row r="76" spans="2:18" ht="34" x14ac:dyDescent="0.25">
      <c r="C76" s="1108" t="s">
        <v>985</v>
      </c>
      <c r="D76" s="1109" t="s">
        <v>310</v>
      </c>
      <c r="E76" s="1110">
        <v>5507</v>
      </c>
      <c r="F76" s="1111">
        <v>2202.8000000000002</v>
      </c>
      <c r="G76" s="1112" t="s">
        <v>487</v>
      </c>
      <c r="H76" s="1033" t="s">
        <v>248</v>
      </c>
      <c r="I76" s="1049" t="s">
        <v>59</v>
      </c>
      <c r="J76" s="1049" t="s">
        <v>59</v>
      </c>
      <c r="K76" s="1115" t="s">
        <v>986</v>
      </c>
      <c r="L76" s="1116" t="s">
        <v>59</v>
      </c>
      <c r="M76" s="1117">
        <v>3</v>
      </c>
      <c r="N76" s="1117">
        <v>3</v>
      </c>
      <c r="O76" s="1033" t="s">
        <v>59</v>
      </c>
      <c r="P76" s="1033" t="s">
        <v>59</v>
      </c>
      <c r="Q76" s="1033" t="s">
        <v>59</v>
      </c>
      <c r="R76" s="1114" t="s">
        <v>59</v>
      </c>
    </row>
    <row r="77" spans="2:18" ht="34" x14ac:dyDescent="0.25">
      <c r="C77" s="1032" t="s">
        <v>987</v>
      </c>
      <c r="D77" s="1043" t="s">
        <v>310</v>
      </c>
      <c r="E77" s="1034">
        <v>5507</v>
      </c>
      <c r="F77" s="1035">
        <v>2202.8000000000002</v>
      </c>
      <c r="G77" s="1049" t="s">
        <v>487</v>
      </c>
      <c r="H77" s="1033" t="s">
        <v>248</v>
      </c>
      <c r="I77" s="1033" t="s">
        <v>59</v>
      </c>
      <c r="J77" s="1033" t="s">
        <v>59</v>
      </c>
      <c r="K77" s="1101" t="s">
        <v>986</v>
      </c>
      <c r="L77" s="1113" t="s">
        <v>59</v>
      </c>
      <c r="M77" s="1113">
        <v>9</v>
      </c>
      <c r="N77" s="1113" t="s">
        <v>988</v>
      </c>
      <c r="O77" s="1033" t="s">
        <v>59</v>
      </c>
      <c r="P77" s="1033" t="s">
        <v>59</v>
      </c>
      <c r="Q77" s="1033" t="s">
        <v>59</v>
      </c>
      <c r="R77" s="1036" t="s">
        <v>59</v>
      </c>
    </row>
    <row r="78" spans="2:18" x14ac:dyDescent="0.2">
      <c r="B78" s="622">
        <f>SUM(B61:B77)</f>
        <v>0</v>
      </c>
    </row>
  </sheetData>
  <sheetProtection algorithmName="SHA-512" hashValue="L2XjQ01oPqPo35PU2sL8tqQtd74B+JRDl5b0yi0NFGR+iKnD0I6gpqMvyvpf2KuIdHHq9JB86OjylV1JHmRDxQ==" saltValue="FGvOtTwuWICmIppc0lnaRQ==" spinCount="100000"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87845638-E4DB-4FBE-9416-8D38356C84F2}">
          <x14:formula1>
            <xm:f>'Data Elements'!$A$3:$A$101</xm:f>
          </x14:formula1>
          <xm:sqref>C36</xm:sqref>
        </x14:dataValidation>
        <x14:dataValidation type="list" allowBlank="1" showInputMessage="1" showErrorMessage="1" xr:uid="{433AC8F1-8406-4274-B6B9-0915F814B0F6}">
          <x14:formula1>
            <xm:f>'Data Elements'!$F$3:$F$31</xm:f>
          </x14:formula1>
          <xm:sqref>D2</xm:sqref>
        </x14:dataValidation>
        <x14:dataValidation type="list" allowBlank="1" showInputMessage="1" showErrorMessage="1" xr:uid="{9F94151C-BF9A-43A7-889A-782B25AA38C1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AG83"/>
  <sheetViews>
    <sheetView topLeftCell="A33" workbookViewId="0">
      <selection activeCell="H50" sqref="H50"/>
    </sheetView>
    <sheetView topLeftCell="A67" workbookViewId="1">
      <selection activeCell="B76" sqref="B76"/>
    </sheetView>
  </sheetViews>
  <sheetFormatPr baseColWidth="10" defaultColWidth="38.33203125" defaultRowHeight="16" x14ac:dyDescent="0.2"/>
  <cols>
    <col min="1" max="1" width="37.5" style="1" bestFit="1" customWidth="1"/>
    <col min="2" max="2" width="15.83203125" style="130" customWidth="1"/>
    <col min="3" max="3" width="9.33203125" style="130" bestFit="1" customWidth="1"/>
    <col min="4" max="4" width="17.1640625" style="130" bestFit="1" customWidth="1"/>
    <col min="5" max="5" width="17.6640625" style="130" customWidth="1"/>
    <col min="6" max="6" width="25.33203125" style="130" customWidth="1"/>
    <col min="7" max="7" width="2.33203125" style="130" bestFit="1" customWidth="1"/>
    <col min="8" max="8" width="6.1640625" style="130" bestFit="1" customWidth="1"/>
    <col min="9" max="9" width="12.33203125" style="130" bestFit="1" customWidth="1"/>
    <col min="10" max="10" width="7.33203125" style="131" bestFit="1" customWidth="1"/>
    <col min="11" max="11" width="9.5" style="130" hidden="1" customWidth="1"/>
    <col min="12" max="12" width="12" style="130" hidden="1" customWidth="1"/>
    <col min="13" max="13" width="7" style="130" bestFit="1" customWidth="1"/>
    <col min="14" max="14" width="6" style="130" bestFit="1" customWidth="1"/>
    <col min="15" max="15" width="8.1640625" style="130" bestFit="1" customWidth="1"/>
    <col min="16" max="17" width="5" style="130" bestFit="1" customWidth="1"/>
    <col min="18" max="18" width="7" style="130" bestFit="1" customWidth="1"/>
    <col min="19" max="19" width="6" style="130" bestFit="1" customWidth="1"/>
    <col min="20" max="20" width="8.1640625" style="130" bestFit="1" customWidth="1"/>
    <col min="21" max="21" width="7" style="130" bestFit="1" customWidth="1"/>
    <col min="22" max="22" width="6" style="130" bestFit="1" customWidth="1"/>
    <col min="23" max="23" width="8.1640625" style="130" bestFit="1" customWidth="1"/>
    <col min="24" max="25" width="5" style="130" bestFit="1" customWidth="1"/>
    <col min="26" max="26" width="7" style="130" bestFit="1" customWidth="1"/>
    <col min="27" max="27" width="6" style="130" bestFit="1" customWidth="1"/>
    <col min="28" max="28" width="8.1640625" style="130" bestFit="1" customWidth="1"/>
    <col min="29" max="29" width="7" style="130" bestFit="1" customWidth="1"/>
    <col min="30" max="30" width="6" style="130" bestFit="1" customWidth="1"/>
    <col min="31" max="31" width="8.1640625" style="130" bestFit="1" customWidth="1"/>
    <col min="32" max="32" width="12.33203125" bestFit="1" customWidth="1"/>
    <col min="33" max="33" width="8.1640625" bestFit="1" customWidth="1"/>
  </cols>
  <sheetData>
    <row r="1" spans="1:33" s="234" customFormat="1" ht="45" thickBot="1" x14ac:dyDescent="0.3">
      <c r="A1" s="335" t="s">
        <v>79</v>
      </c>
      <c r="B1" s="235">
        <v>2</v>
      </c>
      <c r="C1" s="235">
        <v>3</v>
      </c>
      <c r="D1" s="235">
        <v>4</v>
      </c>
      <c r="E1" s="235">
        <v>5</v>
      </c>
      <c r="F1" s="235">
        <v>6</v>
      </c>
      <c r="G1" s="235">
        <v>7</v>
      </c>
      <c r="H1" s="235">
        <v>8</v>
      </c>
      <c r="I1" s="235">
        <v>9</v>
      </c>
      <c r="J1" s="857">
        <v>10</v>
      </c>
      <c r="K1" s="235">
        <v>11</v>
      </c>
      <c r="L1" s="235">
        <v>12</v>
      </c>
      <c r="M1" s="235">
        <v>13</v>
      </c>
      <c r="N1" s="235">
        <v>14</v>
      </c>
      <c r="O1" s="235">
        <v>15</v>
      </c>
      <c r="P1" s="235">
        <v>16</v>
      </c>
      <c r="Q1" s="235">
        <v>17</v>
      </c>
      <c r="R1" s="235">
        <v>18</v>
      </c>
      <c r="S1" s="235">
        <v>19</v>
      </c>
      <c r="T1" s="235">
        <v>20</v>
      </c>
      <c r="U1" s="235">
        <v>21</v>
      </c>
      <c r="V1" s="235">
        <v>22</v>
      </c>
      <c r="W1" s="235">
        <v>23</v>
      </c>
      <c r="X1" s="235">
        <v>24</v>
      </c>
      <c r="Y1" s="235">
        <v>25</v>
      </c>
      <c r="Z1" s="235">
        <v>26</v>
      </c>
      <c r="AA1" s="235">
        <v>27</v>
      </c>
      <c r="AB1" s="235">
        <v>28</v>
      </c>
      <c r="AC1" s="235">
        <v>29</v>
      </c>
      <c r="AD1" s="235">
        <v>30</v>
      </c>
      <c r="AE1" s="235">
        <v>31</v>
      </c>
    </row>
    <row r="2" spans="1:33" s="1" customFormat="1" ht="37.25" customHeight="1" thickBot="1" x14ac:dyDescent="0.25">
      <c r="A2" s="236"/>
      <c r="B2" s="1169" t="s">
        <v>80</v>
      </c>
      <c r="C2" s="1170"/>
      <c r="D2" s="1170"/>
      <c r="E2" s="1170"/>
      <c r="F2" s="1170"/>
      <c r="G2" s="263"/>
      <c r="H2" s="1163" t="s">
        <v>81</v>
      </c>
      <c r="I2" s="1164"/>
      <c r="J2" s="1165"/>
      <c r="K2" s="1172" t="s">
        <v>82</v>
      </c>
      <c r="L2" s="1173"/>
      <c r="M2" s="1161" t="s">
        <v>83</v>
      </c>
      <c r="N2" s="1171"/>
      <c r="O2" s="1171"/>
      <c r="P2" s="1163" t="s">
        <v>84</v>
      </c>
      <c r="Q2" s="1165"/>
      <c r="R2" s="1161" t="s">
        <v>85</v>
      </c>
      <c r="S2" s="1171"/>
      <c r="T2" s="1162"/>
      <c r="U2" s="1161" t="s">
        <v>86</v>
      </c>
      <c r="V2" s="1171"/>
      <c r="W2" s="1171"/>
      <c r="X2" s="1161" t="s">
        <v>87</v>
      </c>
      <c r="Y2" s="1162"/>
      <c r="Z2" s="1163" t="s">
        <v>88</v>
      </c>
      <c r="AA2" s="1164"/>
      <c r="AB2" s="1165"/>
      <c r="AC2" s="1166" t="s">
        <v>89</v>
      </c>
      <c r="AD2" s="1167"/>
      <c r="AE2" s="1168"/>
      <c r="AF2" s="255" t="s">
        <v>90</v>
      </c>
    </row>
    <row r="3" spans="1:33" s="240" customFormat="1" ht="17" thickBot="1" x14ac:dyDescent="0.25">
      <c r="A3" s="237"/>
      <c r="B3" s="824" t="s">
        <v>47</v>
      </c>
      <c r="C3" s="825" t="s">
        <v>91</v>
      </c>
      <c r="D3" s="828" t="s">
        <v>92</v>
      </c>
      <c r="E3" s="825" t="s">
        <v>93</v>
      </c>
      <c r="F3" s="829" t="s">
        <v>94</v>
      </c>
      <c r="G3" s="259"/>
      <c r="H3" s="824" t="s">
        <v>47</v>
      </c>
      <c r="I3" s="869" t="s">
        <v>48</v>
      </c>
      <c r="J3" s="870" t="s">
        <v>49</v>
      </c>
      <c r="K3" s="809" t="s">
        <v>95</v>
      </c>
      <c r="L3" s="810" t="s">
        <v>96</v>
      </c>
      <c r="M3" s="260" t="s">
        <v>47</v>
      </c>
      <c r="N3" s="261" t="s">
        <v>48</v>
      </c>
      <c r="O3" s="262" t="s">
        <v>49</v>
      </c>
      <c r="P3" s="260" t="s">
        <v>47</v>
      </c>
      <c r="Q3" s="262" t="s">
        <v>49</v>
      </c>
      <c r="R3" s="260" t="s">
        <v>47</v>
      </c>
      <c r="S3" s="261" t="s">
        <v>48</v>
      </c>
      <c r="T3" s="262" t="s">
        <v>49</v>
      </c>
      <c r="U3" s="260" t="s">
        <v>47</v>
      </c>
      <c r="V3" s="261" t="s">
        <v>48</v>
      </c>
      <c r="W3" s="262" t="s">
        <v>49</v>
      </c>
      <c r="X3" s="239" t="s">
        <v>47</v>
      </c>
      <c r="Y3" s="238" t="s">
        <v>49</v>
      </c>
      <c r="Z3" s="843" t="s">
        <v>47</v>
      </c>
      <c r="AA3" s="844" t="s">
        <v>48</v>
      </c>
      <c r="AB3" s="845" t="s">
        <v>49</v>
      </c>
      <c r="AC3" s="846" t="s">
        <v>47</v>
      </c>
      <c r="AD3" s="847" t="s">
        <v>48</v>
      </c>
      <c r="AE3" s="848" t="s">
        <v>49</v>
      </c>
      <c r="AF3" s="256"/>
    </row>
    <row r="4" spans="1:33" x14ac:dyDescent="0.2">
      <c r="A4" s="341" t="s">
        <v>97</v>
      </c>
      <c r="B4" s="786">
        <f>F4/C4</f>
        <v>1.4965517241379309</v>
      </c>
      <c r="C4" s="826">
        <v>14.5</v>
      </c>
      <c r="D4" s="827">
        <v>24.4</v>
      </c>
      <c r="E4" s="827">
        <v>19</v>
      </c>
      <c r="F4" s="830">
        <f>(D4+E4)/2</f>
        <v>21.7</v>
      </c>
      <c r="G4" s="264"/>
      <c r="H4" s="823">
        <f>J4/I4</f>
        <v>3.2857142857142856</v>
      </c>
      <c r="I4" s="859">
        <v>6.3</v>
      </c>
      <c r="J4" s="860">
        <v>20.7</v>
      </c>
      <c r="K4" s="811">
        <v>19.5</v>
      </c>
      <c r="L4" s="812">
        <f>(J4-K4)/J4</f>
        <v>5.7971014492753589E-2</v>
      </c>
      <c r="M4" s="787">
        <f>O4/N4</f>
        <v>3.45</v>
      </c>
      <c r="N4" s="302">
        <f>I4</f>
        <v>6.3</v>
      </c>
      <c r="O4" s="790">
        <f>J4*1.05</f>
        <v>21.734999999999999</v>
      </c>
      <c r="P4" s="304"/>
      <c r="Q4" s="303"/>
      <c r="R4" s="793">
        <f>M4+P4</f>
        <v>3.45</v>
      </c>
      <c r="S4" s="794">
        <f>T4/R4</f>
        <v>6.3</v>
      </c>
      <c r="T4" s="790">
        <f>O4+Q4</f>
        <v>21.734999999999999</v>
      </c>
      <c r="U4" s="793">
        <f>W4/V4</f>
        <v>3.1214285714285714</v>
      </c>
      <c r="V4" s="794">
        <f>I4</f>
        <v>6.3</v>
      </c>
      <c r="W4" s="790">
        <f>(2*J4)-O4</f>
        <v>19.664999999999999</v>
      </c>
      <c r="X4" s="301"/>
      <c r="Y4" s="303"/>
      <c r="Z4" s="805">
        <f>U4+X4</f>
        <v>3.1214285714285714</v>
      </c>
      <c r="AA4" s="794">
        <f>AB4/Z4</f>
        <v>6.3</v>
      </c>
      <c r="AB4" s="795">
        <f>W4+Y4</f>
        <v>19.664999999999999</v>
      </c>
      <c r="AC4" s="793">
        <f>(Z4+R4)/2</f>
        <v>3.2857142857142856</v>
      </c>
      <c r="AD4" s="794">
        <f>AE4/AC4</f>
        <v>6.3</v>
      </c>
      <c r="AE4" s="839">
        <f>(AB4+T4)/2</f>
        <v>20.7</v>
      </c>
      <c r="AF4" s="257"/>
      <c r="AG4" s="812">
        <f>(F4-J4)/F4</f>
        <v>4.6082949308755762E-2</v>
      </c>
    </row>
    <row r="5" spans="1:33" x14ac:dyDescent="0.2">
      <c r="A5" s="306" t="s">
        <v>51</v>
      </c>
      <c r="B5" s="781">
        <f t="shared" ref="B5:B26" si="0">F5/C5</f>
        <v>3.444</v>
      </c>
      <c r="C5" s="307">
        <v>25</v>
      </c>
      <c r="D5" s="307">
        <v>95.7</v>
      </c>
      <c r="E5" s="307">
        <v>76.5</v>
      </c>
      <c r="F5" s="831">
        <f t="shared" ref="F5:F26" si="1">(D5+E5)/2</f>
        <v>86.1</v>
      </c>
      <c r="G5" s="265"/>
      <c r="H5" s="786">
        <f>J5/I5</f>
        <v>3.8139534883720931</v>
      </c>
      <c r="I5" s="861">
        <v>21.5</v>
      </c>
      <c r="J5" s="862">
        <v>82</v>
      </c>
      <c r="K5" s="813">
        <v>93</v>
      </c>
      <c r="L5" s="814">
        <f>(J5-K5)/J5</f>
        <v>-0.13414634146341464</v>
      </c>
      <c r="M5" s="787">
        <f>O5/N5</f>
        <v>4.0046511627906982</v>
      </c>
      <c r="N5" s="302">
        <f t="shared" ref="N5:N11" si="2">I5</f>
        <v>21.5</v>
      </c>
      <c r="O5" s="790">
        <f t="shared" ref="O5:O11" si="3">J5*1.05</f>
        <v>86.100000000000009</v>
      </c>
      <c r="P5" s="304"/>
      <c r="Q5" s="303"/>
      <c r="R5" s="793">
        <f>M5+P5</f>
        <v>4.0046511627906982</v>
      </c>
      <c r="S5" s="794">
        <f>T5/R5</f>
        <v>21.5</v>
      </c>
      <c r="T5" s="790">
        <f>O5+Q5</f>
        <v>86.100000000000009</v>
      </c>
      <c r="U5" s="793">
        <f>W5/V5</f>
        <v>3.6232558139534881</v>
      </c>
      <c r="V5" s="794">
        <f t="shared" ref="V5:V11" si="4">I5</f>
        <v>21.5</v>
      </c>
      <c r="W5" s="790">
        <f t="shared" ref="W5:W11" si="5">(2*J5)-O5</f>
        <v>77.899999999999991</v>
      </c>
      <c r="X5" s="305"/>
      <c r="Y5" s="308"/>
      <c r="Z5" s="805">
        <f>U5+X5</f>
        <v>3.6232558139534881</v>
      </c>
      <c r="AA5" s="806">
        <f>AB5/Z5</f>
        <v>21.5</v>
      </c>
      <c r="AB5" s="795">
        <f>W5+Y5</f>
        <v>77.899999999999991</v>
      </c>
      <c r="AC5" s="793">
        <f t="shared" ref="AC5:AC11" si="6">(Z5+R5)/2</f>
        <v>3.8139534883720931</v>
      </c>
      <c r="AD5" s="794">
        <f>AE5/AC5</f>
        <v>21.5</v>
      </c>
      <c r="AE5" s="839">
        <f t="shared" ref="AE5:AE11" si="7">(AB5+T5)/2</f>
        <v>82</v>
      </c>
      <c r="AF5" s="257"/>
      <c r="AG5" s="812">
        <f t="shared" ref="AG5:AG34" si="8">(F5-J5)/F5</f>
        <v>4.7619047619047554E-2</v>
      </c>
    </row>
    <row r="6" spans="1:33" x14ac:dyDescent="0.2">
      <c r="A6" s="309" t="s">
        <v>52</v>
      </c>
      <c r="B6" s="782">
        <f t="shared" si="0"/>
        <v>16.34550561797753</v>
      </c>
      <c r="C6" s="310">
        <v>17.8</v>
      </c>
      <c r="D6" s="310">
        <v>300.3</v>
      </c>
      <c r="E6" s="310">
        <v>281.60000000000002</v>
      </c>
      <c r="F6" s="832">
        <f t="shared" si="1"/>
        <v>290.95000000000005</v>
      </c>
      <c r="G6" s="266"/>
      <c r="H6" s="780">
        <f t="shared" ref="H6:H26" si="9">J6/I6</f>
        <v>14.147959183673469</v>
      </c>
      <c r="I6" s="863">
        <v>19.600000000000001</v>
      </c>
      <c r="J6" s="862">
        <v>277.3</v>
      </c>
      <c r="K6" s="813">
        <v>275.8</v>
      </c>
      <c r="L6" s="814">
        <f t="shared" ref="L6:L31" si="10">(J6-K6)/J6</f>
        <v>5.4093040028849616E-3</v>
      </c>
      <c r="M6" s="787">
        <f t="shared" ref="M6" si="11">O6/N6</f>
        <v>14.855357142857143</v>
      </c>
      <c r="N6" s="302">
        <f t="shared" si="2"/>
        <v>19.600000000000001</v>
      </c>
      <c r="O6" s="790">
        <f t="shared" si="3"/>
        <v>291.16500000000002</v>
      </c>
      <c r="P6" s="304"/>
      <c r="Q6" s="303"/>
      <c r="R6" s="793">
        <f t="shared" ref="R6:R26" si="12">M6+P6</f>
        <v>14.855357142857143</v>
      </c>
      <c r="S6" s="794">
        <f t="shared" ref="S6:S26" si="13">T6/R6</f>
        <v>19.600000000000001</v>
      </c>
      <c r="T6" s="790">
        <f>O6+Q6</f>
        <v>291.16500000000002</v>
      </c>
      <c r="U6" s="793">
        <f t="shared" ref="U6:U26" si="14">W6/V6</f>
        <v>13.440561224489795</v>
      </c>
      <c r="V6" s="794">
        <f t="shared" si="4"/>
        <v>19.600000000000001</v>
      </c>
      <c r="W6" s="790">
        <f t="shared" si="5"/>
        <v>263.435</v>
      </c>
      <c r="X6" s="301"/>
      <c r="Y6" s="303"/>
      <c r="Z6" s="805">
        <f t="shared" ref="Z6:Z26" si="15">U6+X6</f>
        <v>13.440561224489795</v>
      </c>
      <c r="AA6" s="794">
        <f t="shared" ref="AA6:AA26" si="16">AB6/Z6</f>
        <v>19.600000000000001</v>
      </c>
      <c r="AB6" s="795">
        <f t="shared" ref="AB6:AB26" si="17">W6+Y6</f>
        <v>263.435</v>
      </c>
      <c r="AC6" s="793">
        <f t="shared" si="6"/>
        <v>14.147959183673468</v>
      </c>
      <c r="AD6" s="794">
        <f t="shared" ref="AD6:AD26" si="18">AE6/AC6</f>
        <v>19.600000000000001</v>
      </c>
      <c r="AE6" s="839">
        <f t="shared" si="7"/>
        <v>277.3</v>
      </c>
      <c r="AF6" s="257"/>
      <c r="AG6" s="812">
        <f t="shared" si="8"/>
        <v>4.6915277539096176E-2</v>
      </c>
    </row>
    <row r="7" spans="1:33" x14ac:dyDescent="0.2">
      <c r="A7" s="309" t="s">
        <v>53</v>
      </c>
      <c r="B7" s="782">
        <f t="shared" si="0"/>
        <v>15.985781990521327</v>
      </c>
      <c r="C7" s="310">
        <v>21.1</v>
      </c>
      <c r="D7" s="310">
        <v>348.6</v>
      </c>
      <c r="E7" s="310">
        <v>326</v>
      </c>
      <c r="F7" s="832">
        <f t="shared" si="1"/>
        <v>337.3</v>
      </c>
      <c r="G7" s="266"/>
      <c r="H7" s="780">
        <f t="shared" si="9"/>
        <v>15.995024875621889</v>
      </c>
      <c r="I7" s="863">
        <v>20.100000000000001</v>
      </c>
      <c r="J7" s="862">
        <v>321.5</v>
      </c>
      <c r="K7" s="813">
        <v>324.8</v>
      </c>
      <c r="L7" s="814">
        <f>(J7-K7)/J7</f>
        <v>-1.0264385692068464E-2</v>
      </c>
      <c r="M7" s="787">
        <f t="shared" ref="M7:M9" si="19">O7/N7</f>
        <v>16.794776119402982</v>
      </c>
      <c r="N7" s="302">
        <f t="shared" si="2"/>
        <v>20.100000000000001</v>
      </c>
      <c r="O7" s="790">
        <f t="shared" si="3"/>
        <v>337.57499999999999</v>
      </c>
      <c r="P7" s="304"/>
      <c r="Q7" s="303"/>
      <c r="R7" s="793">
        <f t="shared" si="12"/>
        <v>16.794776119402982</v>
      </c>
      <c r="S7" s="794">
        <f t="shared" si="13"/>
        <v>20.100000000000001</v>
      </c>
      <c r="T7" s="795">
        <f t="shared" ref="T7:T26" si="20">O7+Q7</f>
        <v>337.57499999999999</v>
      </c>
      <c r="U7" s="793">
        <f t="shared" si="14"/>
        <v>15.195273631840795</v>
      </c>
      <c r="V7" s="794">
        <f t="shared" si="4"/>
        <v>20.100000000000001</v>
      </c>
      <c r="W7" s="790">
        <f t="shared" si="5"/>
        <v>305.42500000000001</v>
      </c>
      <c r="X7" s="301"/>
      <c r="Y7" s="303"/>
      <c r="Z7" s="805">
        <f t="shared" si="15"/>
        <v>15.195273631840795</v>
      </c>
      <c r="AA7" s="794">
        <f t="shared" si="16"/>
        <v>20.100000000000001</v>
      </c>
      <c r="AB7" s="795">
        <f t="shared" si="17"/>
        <v>305.42500000000001</v>
      </c>
      <c r="AC7" s="793">
        <f t="shared" si="6"/>
        <v>15.995024875621889</v>
      </c>
      <c r="AD7" s="794">
        <f t="shared" si="18"/>
        <v>20.100000000000001</v>
      </c>
      <c r="AE7" s="839">
        <f t="shared" si="7"/>
        <v>321.5</v>
      </c>
      <c r="AF7" s="257"/>
      <c r="AG7" s="812">
        <f t="shared" si="8"/>
        <v>4.6842573376815924E-2</v>
      </c>
    </row>
    <row r="8" spans="1:33" x14ac:dyDescent="0.2">
      <c r="A8" s="309" t="s">
        <v>54</v>
      </c>
      <c r="B8" s="780">
        <f t="shared" si="0"/>
        <v>9.682098765432098</v>
      </c>
      <c r="C8" s="299">
        <v>16.2</v>
      </c>
      <c r="D8" s="300">
        <v>167.2</v>
      </c>
      <c r="E8" s="300">
        <v>146.5</v>
      </c>
      <c r="F8" s="833">
        <f t="shared" si="1"/>
        <v>156.85</v>
      </c>
      <c r="G8" s="264"/>
      <c r="H8" s="780">
        <f t="shared" si="9"/>
        <v>9.7712418300653585</v>
      </c>
      <c r="I8" s="863">
        <v>15.3</v>
      </c>
      <c r="J8" s="862">
        <v>149.5</v>
      </c>
      <c r="K8" s="813">
        <v>143.69999999999999</v>
      </c>
      <c r="L8" s="814">
        <f t="shared" si="10"/>
        <v>3.8795986622073654E-2</v>
      </c>
      <c r="M8" s="787">
        <f t="shared" si="19"/>
        <v>10.259803921568627</v>
      </c>
      <c r="N8" s="302">
        <f t="shared" si="2"/>
        <v>15.3</v>
      </c>
      <c r="O8" s="790">
        <f t="shared" si="3"/>
        <v>156.97499999999999</v>
      </c>
      <c r="P8" s="304"/>
      <c r="Q8" s="303"/>
      <c r="R8" s="793">
        <f t="shared" si="12"/>
        <v>10.259803921568627</v>
      </c>
      <c r="S8" s="794">
        <f t="shared" si="13"/>
        <v>15.299999999999999</v>
      </c>
      <c r="T8" s="795">
        <f t="shared" si="20"/>
        <v>156.97499999999999</v>
      </c>
      <c r="U8" s="793">
        <f t="shared" si="14"/>
        <v>9.2826797385620914</v>
      </c>
      <c r="V8" s="794">
        <f t="shared" si="4"/>
        <v>15.3</v>
      </c>
      <c r="W8" s="790">
        <f t="shared" si="5"/>
        <v>142.02500000000001</v>
      </c>
      <c r="X8" s="301"/>
      <c r="Y8" s="303"/>
      <c r="Z8" s="805">
        <f t="shared" si="15"/>
        <v>9.2826797385620914</v>
      </c>
      <c r="AA8" s="794">
        <f t="shared" si="16"/>
        <v>15.3</v>
      </c>
      <c r="AB8" s="795">
        <f t="shared" si="17"/>
        <v>142.02500000000001</v>
      </c>
      <c r="AC8" s="793">
        <f t="shared" si="6"/>
        <v>9.7712418300653603</v>
      </c>
      <c r="AD8" s="794">
        <f t="shared" si="18"/>
        <v>15.299999999999999</v>
      </c>
      <c r="AE8" s="839">
        <f t="shared" si="7"/>
        <v>149.5</v>
      </c>
      <c r="AF8" s="257"/>
      <c r="AG8" s="812">
        <f t="shared" si="8"/>
        <v>4.6860057379662062E-2</v>
      </c>
    </row>
    <row r="9" spans="1:33" x14ac:dyDescent="0.2">
      <c r="A9" s="309" t="s">
        <v>55</v>
      </c>
      <c r="B9" s="780">
        <f t="shared" si="0"/>
        <v>3.2868852459016398</v>
      </c>
      <c r="C9" s="299">
        <v>24.4</v>
      </c>
      <c r="D9" s="300">
        <v>101.2</v>
      </c>
      <c r="E9" s="300">
        <v>59.2</v>
      </c>
      <c r="F9" s="833">
        <f t="shared" si="1"/>
        <v>80.2</v>
      </c>
      <c r="G9" s="779"/>
      <c r="H9" s="780">
        <f t="shared" si="9"/>
        <v>5.4102564102564106</v>
      </c>
      <c r="I9" s="863">
        <v>15.6</v>
      </c>
      <c r="J9" s="862">
        <v>84.4</v>
      </c>
      <c r="K9" s="813">
        <v>75.099999999999994</v>
      </c>
      <c r="L9" s="814">
        <f t="shared" si="10"/>
        <v>0.11018957345971576</v>
      </c>
      <c r="M9" s="787">
        <f t="shared" si="19"/>
        <v>5.680769230769231</v>
      </c>
      <c r="N9" s="302">
        <f>I9</f>
        <v>15.6</v>
      </c>
      <c r="O9" s="790">
        <f>J9*1.05</f>
        <v>88.62</v>
      </c>
      <c r="P9" s="304"/>
      <c r="Q9" s="303"/>
      <c r="R9" s="793">
        <f t="shared" si="12"/>
        <v>5.680769230769231</v>
      </c>
      <c r="S9" s="794">
        <f t="shared" si="13"/>
        <v>15.6</v>
      </c>
      <c r="T9" s="795">
        <f t="shared" si="20"/>
        <v>88.62</v>
      </c>
      <c r="U9" s="793">
        <f t="shared" si="14"/>
        <v>5.1397435897435901</v>
      </c>
      <c r="V9" s="794">
        <f t="shared" si="4"/>
        <v>15.6</v>
      </c>
      <c r="W9" s="790">
        <f t="shared" si="5"/>
        <v>80.180000000000007</v>
      </c>
      <c r="X9" s="301"/>
      <c r="Y9" s="303"/>
      <c r="Z9" s="805">
        <f t="shared" si="15"/>
        <v>5.1397435897435901</v>
      </c>
      <c r="AA9" s="794">
        <f t="shared" si="16"/>
        <v>15.6</v>
      </c>
      <c r="AB9" s="795">
        <f t="shared" si="17"/>
        <v>80.180000000000007</v>
      </c>
      <c r="AC9" s="793">
        <f t="shared" si="6"/>
        <v>5.4102564102564106</v>
      </c>
      <c r="AD9" s="794">
        <f t="shared" si="18"/>
        <v>15.6</v>
      </c>
      <c r="AE9" s="839">
        <f t="shared" si="7"/>
        <v>84.4</v>
      </c>
      <c r="AF9" s="257"/>
      <c r="AG9" s="812">
        <f t="shared" si="8"/>
        <v>-5.2369077306733201E-2</v>
      </c>
    </row>
    <row r="10" spans="1:33" x14ac:dyDescent="0.2">
      <c r="A10" s="309" t="s">
        <v>56</v>
      </c>
      <c r="B10" s="780">
        <f t="shared" si="0"/>
        <v>7.2407407407407405</v>
      </c>
      <c r="C10" s="299">
        <v>21.6</v>
      </c>
      <c r="D10" s="300">
        <v>180.8</v>
      </c>
      <c r="E10" s="300">
        <v>132</v>
      </c>
      <c r="F10" s="833">
        <f t="shared" si="1"/>
        <v>156.4</v>
      </c>
      <c r="G10" s="264"/>
      <c r="H10" s="780">
        <f t="shared" si="9"/>
        <v>7.8421052631578947</v>
      </c>
      <c r="I10" s="863">
        <v>19</v>
      </c>
      <c r="J10" s="862">
        <v>149</v>
      </c>
      <c r="K10" s="813">
        <v>165.6</v>
      </c>
      <c r="L10" s="814">
        <f t="shared" si="10"/>
        <v>-0.11140939597315433</v>
      </c>
      <c r="M10" s="787">
        <f t="shared" ref="M10:M20" si="21">O10/N10</f>
        <v>8.2342105263157901</v>
      </c>
      <c r="N10" s="302">
        <f t="shared" si="2"/>
        <v>19</v>
      </c>
      <c r="O10" s="790">
        <f t="shared" si="3"/>
        <v>156.45000000000002</v>
      </c>
      <c r="P10" s="304"/>
      <c r="Q10" s="303"/>
      <c r="R10" s="793">
        <f t="shared" si="12"/>
        <v>8.2342105263157901</v>
      </c>
      <c r="S10" s="794">
        <f t="shared" si="13"/>
        <v>19</v>
      </c>
      <c r="T10" s="795">
        <f t="shared" si="20"/>
        <v>156.45000000000002</v>
      </c>
      <c r="U10" s="793">
        <f t="shared" si="14"/>
        <v>7.4499999999999993</v>
      </c>
      <c r="V10" s="794">
        <f t="shared" si="4"/>
        <v>19</v>
      </c>
      <c r="W10" s="790">
        <f t="shared" si="5"/>
        <v>141.54999999999998</v>
      </c>
      <c r="X10" s="301"/>
      <c r="Y10" s="303"/>
      <c r="Z10" s="805">
        <f t="shared" si="15"/>
        <v>7.4499999999999993</v>
      </c>
      <c r="AA10" s="794">
        <f t="shared" si="16"/>
        <v>19</v>
      </c>
      <c r="AB10" s="795">
        <f t="shared" si="17"/>
        <v>141.54999999999998</v>
      </c>
      <c r="AC10" s="793">
        <f t="shared" si="6"/>
        <v>7.8421052631578947</v>
      </c>
      <c r="AD10" s="794">
        <f t="shared" si="18"/>
        <v>19</v>
      </c>
      <c r="AE10" s="839">
        <f t="shared" si="7"/>
        <v>149</v>
      </c>
      <c r="AF10" s="257"/>
      <c r="AG10" s="812">
        <f t="shared" si="8"/>
        <v>4.7314578005115127E-2</v>
      </c>
    </row>
    <row r="11" spans="1:33" x14ac:dyDescent="0.2">
      <c r="A11" s="309" t="s">
        <v>98</v>
      </c>
      <c r="B11" s="780">
        <f t="shared" si="0"/>
        <v>12.75185185185185</v>
      </c>
      <c r="C11" s="299">
        <v>13.5</v>
      </c>
      <c r="D11" s="300">
        <v>173.6</v>
      </c>
      <c r="E11" s="300">
        <v>170.7</v>
      </c>
      <c r="F11" s="833">
        <f t="shared" si="1"/>
        <v>172.14999999999998</v>
      </c>
      <c r="G11" s="264"/>
      <c r="H11" s="780">
        <f t="shared" si="9"/>
        <v>13.128</v>
      </c>
      <c r="I11" s="863">
        <v>12.5</v>
      </c>
      <c r="J11" s="862">
        <v>164.1</v>
      </c>
      <c r="K11" s="813">
        <v>164.6</v>
      </c>
      <c r="L11" s="814">
        <f t="shared" si="10"/>
        <v>-3.0469226081657527E-3</v>
      </c>
      <c r="M11" s="787">
        <f t="shared" si="21"/>
        <v>13.7844</v>
      </c>
      <c r="N11" s="302">
        <f t="shared" si="2"/>
        <v>12.5</v>
      </c>
      <c r="O11" s="790">
        <f t="shared" si="3"/>
        <v>172.30500000000001</v>
      </c>
      <c r="P11" s="304"/>
      <c r="Q11" s="303"/>
      <c r="R11" s="793">
        <f t="shared" si="12"/>
        <v>13.7844</v>
      </c>
      <c r="S11" s="794">
        <f t="shared" si="13"/>
        <v>12.5</v>
      </c>
      <c r="T11" s="795">
        <f t="shared" si="20"/>
        <v>172.30500000000001</v>
      </c>
      <c r="U11" s="793">
        <f t="shared" si="14"/>
        <v>12.471599999999999</v>
      </c>
      <c r="V11" s="794">
        <f t="shared" si="4"/>
        <v>12.5</v>
      </c>
      <c r="W11" s="790">
        <f t="shared" si="5"/>
        <v>155.89499999999998</v>
      </c>
      <c r="X11" s="301"/>
      <c r="Y11" s="303"/>
      <c r="Z11" s="805">
        <f t="shared" si="15"/>
        <v>12.471599999999999</v>
      </c>
      <c r="AA11" s="794">
        <f t="shared" si="16"/>
        <v>12.5</v>
      </c>
      <c r="AB11" s="795">
        <f t="shared" si="17"/>
        <v>155.89499999999998</v>
      </c>
      <c r="AC11" s="793">
        <f t="shared" si="6"/>
        <v>13.128</v>
      </c>
      <c r="AD11" s="794">
        <f t="shared" si="18"/>
        <v>12.5</v>
      </c>
      <c r="AE11" s="839">
        <f t="shared" si="7"/>
        <v>164.1</v>
      </c>
      <c r="AF11" s="257"/>
      <c r="AG11" s="812">
        <f t="shared" si="8"/>
        <v>4.6761545164100984E-2</v>
      </c>
    </row>
    <row r="12" spans="1:33" ht="17" thickBot="1" x14ac:dyDescent="0.25">
      <c r="A12" s="311" t="s">
        <v>58</v>
      </c>
      <c r="B12" s="780"/>
      <c r="C12" s="299"/>
      <c r="D12" s="300"/>
      <c r="E12" s="300"/>
      <c r="F12" s="833"/>
      <c r="G12" s="264"/>
      <c r="H12" s="780"/>
      <c r="I12" s="863"/>
      <c r="J12" s="862"/>
      <c r="K12" s="813"/>
      <c r="L12" s="814"/>
      <c r="M12" s="787"/>
      <c r="N12" s="302"/>
      <c r="O12" s="790"/>
      <c r="P12" s="304"/>
      <c r="Q12" s="303"/>
      <c r="R12" s="793"/>
      <c r="S12" s="794"/>
      <c r="T12" s="795"/>
      <c r="U12" s="793"/>
      <c r="V12" s="794"/>
      <c r="W12" s="790"/>
      <c r="X12" s="301"/>
      <c r="Y12" s="303"/>
      <c r="Z12" s="805"/>
      <c r="AA12" s="794"/>
      <c r="AB12" s="795"/>
      <c r="AC12" s="793"/>
      <c r="AD12" s="794"/>
      <c r="AE12" s="839"/>
      <c r="AF12" s="257"/>
      <c r="AG12" s="812"/>
    </row>
    <row r="13" spans="1:33" x14ac:dyDescent="0.2">
      <c r="A13" s="309" t="s">
        <v>60</v>
      </c>
      <c r="B13" s="780">
        <f t="shared" si="0"/>
        <v>12.784574468085106</v>
      </c>
      <c r="C13" s="299">
        <v>18.8</v>
      </c>
      <c r="D13" s="300">
        <v>256</v>
      </c>
      <c r="E13" s="300">
        <v>224.7</v>
      </c>
      <c r="F13" s="833">
        <f t="shared" si="1"/>
        <v>240.35</v>
      </c>
      <c r="G13" s="264"/>
      <c r="H13" s="780">
        <f t="shared" si="9"/>
        <v>13.550295857988166</v>
      </c>
      <c r="I13" s="863">
        <v>16.899999999999999</v>
      </c>
      <c r="J13" s="862">
        <v>229</v>
      </c>
      <c r="K13" s="813">
        <v>234.2</v>
      </c>
      <c r="L13" s="814">
        <f t="shared" si="10"/>
        <v>-2.2707423580785976E-2</v>
      </c>
      <c r="M13" s="787">
        <f t="shared" si="21"/>
        <v>14.227810650887577</v>
      </c>
      <c r="N13" s="302">
        <f>I13</f>
        <v>16.899999999999999</v>
      </c>
      <c r="O13" s="790">
        <f>J13*1.05</f>
        <v>240.45000000000002</v>
      </c>
      <c r="P13" s="304"/>
      <c r="Q13" s="303"/>
      <c r="R13" s="793">
        <f t="shared" si="12"/>
        <v>14.227810650887577</v>
      </c>
      <c r="S13" s="794">
        <f t="shared" si="13"/>
        <v>16.899999999999999</v>
      </c>
      <c r="T13" s="795">
        <f t="shared" si="20"/>
        <v>240.45000000000002</v>
      </c>
      <c r="U13" s="793">
        <f t="shared" si="14"/>
        <v>12.872781065088757</v>
      </c>
      <c r="V13" s="794">
        <f>I13</f>
        <v>16.899999999999999</v>
      </c>
      <c r="W13" s="790">
        <f>(2*J13)-O13</f>
        <v>217.54999999999998</v>
      </c>
      <c r="X13" s="301"/>
      <c r="Y13" s="303"/>
      <c r="Z13" s="805">
        <f t="shared" si="15"/>
        <v>12.872781065088757</v>
      </c>
      <c r="AA13" s="794">
        <f t="shared" si="16"/>
        <v>16.899999999999999</v>
      </c>
      <c r="AB13" s="795">
        <f t="shared" si="17"/>
        <v>217.54999999999998</v>
      </c>
      <c r="AC13" s="793">
        <f>(Z13+R13)/2</f>
        <v>13.550295857988168</v>
      </c>
      <c r="AD13" s="794">
        <f t="shared" si="18"/>
        <v>16.899999999999999</v>
      </c>
      <c r="AE13" s="839">
        <f>(AB13+T13)/2</f>
        <v>229</v>
      </c>
      <c r="AF13" s="257"/>
      <c r="AG13" s="812">
        <f t="shared" si="8"/>
        <v>4.722280008321196E-2</v>
      </c>
    </row>
    <row r="14" spans="1:33" x14ac:dyDescent="0.2">
      <c r="A14" s="309" t="s">
        <v>61</v>
      </c>
      <c r="B14" s="780">
        <f t="shared" si="0"/>
        <v>4.5796812749003974</v>
      </c>
      <c r="C14" s="299">
        <v>25.1</v>
      </c>
      <c r="D14" s="300">
        <v>118.3</v>
      </c>
      <c r="E14" s="300">
        <v>111.6</v>
      </c>
      <c r="F14" s="833">
        <f t="shared" si="1"/>
        <v>114.94999999999999</v>
      </c>
      <c r="G14" s="264"/>
      <c r="H14" s="780">
        <f t="shared" si="9"/>
        <v>5.615384615384615</v>
      </c>
      <c r="I14" s="863">
        <v>19.5</v>
      </c>
      <c r="J14" s="862">
        <v>109.5</v>
      </c>
      <c r="K14" s="813">
        <v>114.7</v>
      </c>
      <c r="L14" s="814">
        <f t="shared" si="10"/>
        <v>-4.7488584474885874E-2</v>
      </c>
      <c r="M14" s="787">
        <f>O14/N14</f>
        <v>5.8961538461538465</v>
      </c>
      <c r="N14" s="302">
        <f>I14</f>
        <v>19.5</v>
      </c>
      <c r="O14" s="790">
        <f>J14*1.05</f>
        <v>114.97500000000001</v>
      </c>
      <c r="P14" s="304"/>
      <c r="Q14" s="303"/>
      <c r="R14" s="793">
        <f t="shared" si="12"/>
        <v>5.8961538461538465</v>
      </c>
      <c r="S14" s="794">
        <f t="shared" si="13"/>
        <v>19.5</v>
      </c>
      <c r="T14" s="795">
        <f t="shared" si="20"/>
        <v>114.97500000000001</v>
      </c>
      <c r="U14" s="793">
        <f t="shared" si="14"/>
        <v>5.3346153846153843</v>
      </c>
      <c r="V14" s="794">
        <f>I14</f>
        <v>19.5</v>
      </c>
      <c r="W14" s="790">
        <f>(2*J14)-O14</f>
        <v>104.02499999999999</v>
      </c>
      <c r="X14" s="301"/>
      <c r="Y14" s="303"/>
      <c r="Z14" s="805">
        <f t="shared" si="15"/>
        <v>5.3346153846153843</v>
      </c>
      <c r="AA14" s="794">
        <f t="shared" si="16"/>
        <v>19.5</v>
      </c>
      <c r="AB14" s="795">
        <f t="shared" si="17"/>
        <v>104.02499999999999</v>
      </c>
      <c r="AC14" s="793">
        <f>(Z14+R14)/2</f>
        <v>5.615384615384615</v>
      </c>
      <c r="AD14" s="794">
        <f>AE14/AC14</f>
        <v>19.5</v>
      </c>
      <c r="AE14" s="839">
        <f>(AB14+T14)/2</f>
        <v>109.5</v>
      </c>
      <c r="AF14" s="257"/>
      <c r="AG14" s="812">
        <f t="shared" si="8"/>
        <v>4.7411918225315257E-2</v>
      </c>
    </row>
    <row r="15" spans="1:33" x14ac:dyDescent="0.2">
      <c r="A15" s="309" t="s">
        <v>62</v>
      </c>
      <c r="B15" s="780">
        <f>F15/C15</f>
        <v>0.61304347826086958</v>
      </c>
      <c r="C15" s="299">
        <v>11.5</v>
      </c>
      <c r="D15" s="300">
        <v>7.7</v>
      </c>
      <c r="E15" s="300">
        <v>6.4</v>
      </c>
      <c r="F15" s="833">
        <f>(D15+E15)/2</f>
        <v>7.0500000000000007</v>
      </c>
      <c r="G15" s="264"/>
      <c r="H15" s="780">
        <f>J15/I15</f>
        <v>0.42405063291139239</v>
      </c>
      <c r="I15" s="863">
        <v>15.8</v>
      </c>
      <c r="J15" s="862">
        <v>6.7</v>
      </c>
      <c r="K15" s="813">
        <v>9.6</v>
      </c>
      <c r="L15" s="814">
        <f t="shared" si="10"/>
        <v>-0.43283582089552231</v>
      </c>
      <c r="M15" s="787">
        <f>O15/N15</f>
        <v>0.44525316455696201</v>
      </c>
      <c r="N15" s="302">
        <f>I15</f>
        <v>15.8</v>
      </c>
      <c r="O15" s="790">
        <f>J15*1.05</f>
        <v>7.0350000000000001</v>
      </c>
      <c r="P15" s="304"/>
      <c r="Q15" s="303"/>
      <c r="R15" s="793">
        <f>M15+P15</f>
        <v>0.44525316455696201</v>
      </c>
      <c r="S15" s="794">
        <f>T15/R15</f>
        <v>15.8</v>
      </c>
      <c r="T15" s="795">
        <f>O15+Q15</f>
        <v>7.0350000000000001</v>
      </c>
      <c r="U15" s="793">
        <f>W15/V15</f>
        <v>0.40284810126582277</v>
      </c>
      <c r="V15" s="794">
        <f>I15</f>
        <v>15.8</v>
      </c>
      <c r="W15" s="790">
        <f>(2*J15)-O15</f>
        <v>6.3650000000000002</v>
      </c>
      <c r="X15" s="301"/>
      <c r="Y15" s="303"/>
      <c r="Z15" s="805">
        <f>U15+X15</f>
        <v>0.40284810126582277</v>
      </c>
      <c r="AA15" s="794">
        <f>AB15/Z15</f>
        <v>15.8</v>
      </c>
      <c r="AB15" s="795">
        <f>W15+Y15</f>
        <v>6.3650000000000002</v>
      </c>
      <c r="AC15" s="793">
        <f>(Z15+R15)/2</f>
        <v>0.42405063291139239</v>
      </c>
      <c r="AD15" s="794">
        <f>AE15/AC15</f>
        <v>15.8</v>
      </c>
      <c r="AE15" s="839">
        <f>(AB15+T15)/2</f>
        <v>6.7</v>
      </c>
      <c r="AF15" s="257"/>
      <c r="AG15" s="812">
        <f t="shared" si="8"/>
        <v>4.9645390070922057E-2</v>
      </c>
    </row>
    <row r="16" spans="1:33" x14ac:dyDescent="0.2">
      <c r="A16" s="309" t="s">
        <v>63</v>
      </c>
      <c r="B16" s="780">
        <f t="shared" si="0"/>
        <v>8.2463054187192117</v>
      </c>
      <c r="C16" s="299">
        <v>20.3</v>
      </c>
      <c r="D16" s="300">
        <v>178.3</v>
      </c>
      <c r="E16" s="300">
        <v>156.5</v>
      </c>
      <c r="F16" s="833">
        <f t="shared" si="1"/>
        <v>167.4</v>
      </c>
      <c r="G16" s="264"/>
      <c r="H16" s="780">
        <f t="shared" si="9"/>
        <v>8.721311475409836</v>
      </c>
      <c r="I16" s="863">
        <v>18.3</v>
      </c>
      <c r="J16" s="862">
        <v>159.6</v>
      </c>
      <c r="K16" s="813">
        <v>163.6</v>
      </c>
      <c r="L16" s="814">
        <f>(J16-(K16+K17))/J16</f>
        <v>-2.5062656641604012E-2</v>
      </c>
      <c r="M16" s="787">
        <f t="shared" si="21"/>
        <v>9.1573770491803277</v>
      </c>
      <c r="N16" s="302">
        <f>I16</f>
        <v>18.3</v>
      </c>
      <c r="O16" s="790">
        <f>J16*1.05</f>
        <v>167.58</v>
      </c>
      <c r="P16" s="304"/>
      <c r="Q16" s="303"/>
      <c r="R16" s="793">
        <f t="shared" si="12"/>
        <v>9.1573770491803277</v>
      </c>
      <c r="S16" s="794">
        <f t="shared" si="13"/>
        <v>18.3</v>
      </c>
      <c r="T16" s="795">
        <f t="shared" si="20"/>
        <v>167.58</v>
      </c>
      <c r="U16" s="793">
        <f t="shared" si="14"/>
        <v>8.2852459016393425</v>
      </c>
      <c r="V16" s="794">
        <f>I16</f>
        <v>18.3</v>
      </c>
      <c r="W16" s="790">
        <f>(2*J16)-O16</f>
        <v>151.61999999999998</v>
      </c>
      <c r="X16" s="301"/>
      <c r="Y16" s="303"/>
      <c r="Z16" s="805">
        <f t="shared" si="15"/>
        <v>8.2852459016393425</v>
      </c>
      <c r="AA16" s="794">
        <f t="shared" si="16"/>
        <v>18.3</v>
      </c>
      <c r="AB16" s="795">
        <f t="shared" si="17"/>
        <v>151.61999999999998</v>
      </c>
      <c r="AC16" s="793">
        <f>(Z16+R16)/2</f>
        <v>8.7213114754098342</v>
      </c>
      <c r="AD16" s="794">
        <f t="shared" si="18"/>
        <v>18.300000000000004</v>
      </c>
      <c r="AE16" s="839">
        <f>(AB16+T16)/2</f>
        <v>159.6</v>
      </c>
      <c r="AF16" s="257"/>
      <c r="AG16" s="812">
        <f t="shared" si="8"/>
        <v>4.6594982078853112E-2</v>
      </c>
    </row>
    <row r="17" spans="1:33" ht="17" thickBot="1" x14ac:dyDescent="0.25">
      <c r="A17" s="312" t="s">
        <v>64</v>
      </c>
      <c r="B17" s="780"/>
      <c r="C17" s="299"/>
      <c r="D17" s="300"/>
      <c r="E17" s="300"/>
      <c r="F17" s="833"/>
      <c r="G17" s="264"/>
      <c r="H17" s="780"/>
      <c r="I17" s="863"/>
      <c r="J17" s="862"/>
      <c r="K17" s="813"/>
      <c r="L17" s="814"/>
      <c r="M17" s="787"/>
      <c r="N17" s="302"/>
      <c r="O17" s="790"/>
      <c r="P17" s="304"/>
      <c r="Q17" s="303"/>
      <c r="R17" s="793"/>
      <c r="S17" s="794"/>
      <c r="T17" s="795"/>
      <c r="U17" s="793"/>
      <c r="V17" s="794"/>
      <c r="W17" s="790"/>
      <c r="X17" s="301"/>
      <c r="Y17" s="303"/>
      <c r="Z17" s="805"/>
      <c r="AA17" s="794"/>
      <c r="AB17" s="795"/>
      <c r="AC17" s="793"/>
      <c r="AD17" s="794"/>
      <c r="AE17" s="839"/>
      <c r="AF17" s="257"/>
      <c r="AG17" s="812"/>
    </row>
    <row r="18" spans="1:33" x14ac:dyDescent="0.2">
      <c r="A18" s="309" t="s">
        <v>65</v>
      </c>
      <c r="B18" s="780">
        <f t="shared" si="0"/>
        <v>8.2181069958847726</v>
      </c>
      <c r="C18" s="299">
        <v>24.3</v>
      </c>
      <c r="D18" s="300">
        <v>177.1</v>
      </c>
      <c r="E18" s="300">
        <v>222.3</v>
      </c>
      <c r="F18" s="833">
        <f t="shared" si="1"/>
        <v>199.7</v>
      </c>
      <c r="G18" s="264"/>
      <c r="H18" s="780">
        <f t="shared" si="9"/>
        <v>8.5336322869955161</v>
      </c>
      <c r="I18" s="863">
        <v>22.3</v>
      </c>
      <c r="J18" s="862">
        <v>190.3</v>
      </c>
      <c r="K18" s="813">
        <v>180.4</v>
      </c>
      <c r="L18" s="814">
        <f t="shared" si="10"/>
        <v>5.2023121387283267E-2</v>
      </c>
      <c r="M18" s="787">
        <f t="shared" si="21"/>
        <v>8.9603139013452928</v>
      </c>
      <c r="N18" s="302">
        <f>I18</f>
        <v>22.3</v>
      </c>
      <c r="O18" s="790">
        <f t="shared" ref="O18:O22" si="22">J18*1.05</f>
        <v>199.81500000000003</v>
      </c>
      <c r="P18" s="304"/>
      <c r="Q18" s="303"/>
      <c r="R18" s="793">
        <f t="shared" si="12"/>
        <v>8.9603139013452928</v>
      </c>
      <c r="S18" s="794">
        <f t="shared" si="13"/>
        <v>22.3</v>
      </c>
      <c r="T18" s="795">
        <f t="shared" si="20"/>
        <v>199.81500000000003</v>
      </c>
      <c r="U18" s="793">
        <f t="shared" si="14"/>
        <v>8.1069506726457394</v>
      </c>
      <c r="V18" s="794">
        <f>I18</f>
        <v>22.3</v>
      </c>
      <c r="W18" s="790">
        <f t="shared" ref="W18:W22" si="23">(2*J18)-O18</f>
        <v>180.785</v>
      </c>
      <c r="X18" s="301"/>
      <c r="Y18" s="303"/>
      <c r="Z18" s="805">
        <f t="shared" si="15"/>
        <v>8.1069506726457394</v>
      </c>
      <c r="AA18" s="794">
        <f t="shared" si="16"/>
        <v>22.3</v>
      </c>
      <c r="AB18" s="795">
        <f t="shared" si="17"/>
        <v>180.785</v>
      </c>
      <c r="AC18" s="793">
        <f>(Z18+R18)/2</f>
        <v>8.5336322869955161</v>
      </c>
      <c r="AD18" s="794">
        <f t="shared" si="18"/>
        <v>22.3</v>
      </c>
      <c r="AE18" s="839">
        <f t="shared" ref="AE18:AE22" si="24">(AB18+T18)/2</f>
        <v>190.3</v>
      </c>
      <c r="AF18" s="257"/>
      <c r="AG18" s="812">
        <f t="shared" si="8"/>
        <v>4.7070605908863181E-2</v>
      </c>
    </row>
    <row r="19" spans="1:33" x14ac:dyDescent="0.2">
      <c r="A19" s="309" t="s">
        <v>66</v>
      </c>
      <c r="B19" s="780">
        <f>F19/C19</f>
        <v>7.1111111111111116</v>
      </c>
      <c r="C19" s="299">
        <v>18.899999999999999</v>
      </c>
      <c r="D19" s="300">
        <v>131.9</v>
      </c>
      <c r="E19" s="300">
        <v>136.9</v>
      </c>
      <c r="F19" s="833">
        <f>(D19+E19)/2</f>
        <v>134.4</v>
      </c>
      <c r="G19" s="264"/>
      <c r="H19" s="780">
        <f>J19/I19</f>
        <v>7.9074074074074074</v>
      </c>
      <c r="I19" s="863">
        <v>16.2</v>
      </c>
      <c r="J19" s="862">
        <v>128.1</v>
      </c>
      <c r="K19" s="813">
        <v>132.4</v>
      </c>
      <c r="L19" s="814">
        <f t="shared" si="10"/>
        <v>-3.3567525370804152E-2</v>
      </c>
      <c r="M19" s="787">
        <f>O19/N19</f>
        <v>8.3027777777777771</v>
      </c>
      <c r="N19" s="302">
        <f>I19</f>
        <v>16.2</v>
      </c>
      <c r="O19" s="790">
        <f t="shared" si="22"/>
        <v>134.505</v>
      </c>
      <c r="P19" s="304"/>
      <c r="Q19" s="303"/>
      <c r="R19" s="793">
        <f>M19+P19</f>
        <v>8.3027777777777771</v>
      </c>
      <c r="S19" s="794">
        <f>T19/R19</f>
        <v>16.2</v>
      </c>
      <c r="T19" s="795">
        <f>O19+Q19</f>
        <v>134.505</v>
      </c>
      <c r="U19" s="793">
        <f>W19/V19</f>
        <v>7.5120370370370368</v>
      </c>
      <c r="V19" s="794">
        <f>I19</f>
        <v>16.2</v>
      </c>
      <c r="W19" s="790">
        <f t="shared" si="23"/>
        <v>121.69499999999999</v>
      </c>
      <c r="X19" s="301"/>
      <c r="Y19" s="303"/>
      <c r="Z19" s="805">
        <f>U19+X19</f>
        <v>7.5120370370370368</v>
      </c>
      <c r="AA19" s="794">
        <f>AB19/Z19</f>
        <v>16.2</v>
      </c>
      <c r="AB19" s="795">
        <f>W19+Y19</f>
        <v>121.69499999999999</v>
      </c>
      <c r="AC19" s="793">
        <f>(Z19+R19)/2</f>
        <v>7.9074074074074066</v>
      </c>
      <c r="AD19" s="794">
        <f>AE19/AC19</f>
        <v>16.2</v>
      </c>
      <c r="AE19" s="839">
        <f t="shared" si="24"/>
        <v>128.1</v>
      </c>
      <c r="AF19" s="257"/>
      <c r="AG19" s="812">
        <f t="shared" si="8"/>
        <v>4.6875000000000083E-2</v>
      </c>
    </row>
    <row r="20" spans="1:33" x14ac:dyDescent="0.2">
      <c r="A20" s="309" t="s">
        <v>67</v>
      </c>
      <c r="B20" s="780">
        <f t="shared" si="0"/>
        <v>11.345505617977526</v>
      </c>
      <c r="C20" s="299">
        <v>17.8</v>
      </c>
      <c r="D20" s="300">
        <v>213</v>
      </c>
      <c r="E20" s="300">
        <v>190.9</v>
      </c>
      <c r="F20" s="833">
        <f t="shared" si="1"/>
        <v>201.95</v>
      </c>
      <c r="G20" s="264"/>
      <c r="H20" s="780">
        <f t="shared" si="9"/>
        <v>11.390532544378699</v>
      </c>
      <c r="I20" s="863">
        <v>16.899999999999999</v>
      </c>
      <c r="J20" s="862">
        <v>192.5</v>
      </c>
      <c r="K20" s="813">
        <v>208.8</v>
      </c>
      <c r="L20" s="814">
        <f t="shared" si="10"/>
        <v>-8.4675324675324737E-2</v>
      </c>
      <c r="M20" s="787">
        <f t="shared" si="21"/>
        <v>11.960059171597635</v>
      </c>
      <c r="N20" s="302">
        <f>I20</f>
        <v>16.899999999999999</v>
      </c>
      <c r="O20" s="790">
        <f t="shared" si="22"/>
        <v>202.125</v>
      </c>
      <c r="P20" s="304"/>
      <c r="Q20" s="303"/>
      <c r="R20" s="793">
        <f t="shared" si="12"/>
        <v>11.960059171597635</v>
      </c>
      <c r="S20" s="794">
        <f t="shared" si="13"/>
        <v>16.899999999999999</v>
      </c>
      <c r="T20" s="795">
        <f t="shared" si="20"/>
        <v>202.125</v>
      </c>
      <c r="U20" s="793">
        <f t="shared" si="14"/>
        <v>10.821005917159765</v>
      </c>
      <c r="V20" s="794">
        <f>I20</f>
        <v>16.899999999999999</v>
      </c>
      <c r="W20" s="790">
        <f t="shared" si="23"/>
        <v>182.875</v>
      </c>
      <c r="X20" s="301"/>
      <c r="Y20" s="303"/>
      <c r="Z20" s="805">
        <f t="shared" si="15"/>
        <v>10.821005917159765</v>
      </c>
      <c r="AA20" s="794">
        <f t="shared" si="16"/>
        <v>16.899999999999999</v>
      </c>
      <c r="AB20" s="795">
        <f t="shared" si="17"/>
        <v>182.875</v>
      </c>
      <c r="AC20" s="793">
        <f>(Z20+R20)/2</f>
        <v>11.390532544378701</v>
      </c>
      <c r="AD20" s="794">
        <f t="shared" si="18"/>
        <v>16.899999999999995</v>
      </c>
      <c r="AE20" s="839">
        <f t="shared" si="24"/>
        <v>192.5</v>
      </c>
      <c r="AF20" s="257"/>
      <c r="AG20" s="812">
        <f t="shared" si="8"/>
        <v>4.6793760831889027E-2</v>
      </c>
    </row>
    <row r="21" spans="1:33" x14ac:dyDescent="0.2">
      <c r="A21" s="309" t="s">
        <v>68</v>
      </c>
      <c r="B21" s="780">
        <f>F21/C21</f>
        <v>10.184999999999999</v>
      </c>
      <c r="C21" s="299">
        <v>10</v>
      </c>
      <c r="D21" s="300">
        <v>98.3</v>
      </c>
      <c r="E21" s="300">
        <v>105.4</v>
      </c>
      <c r="F21" s="833">
        <f>(D21+E21)/2</f>
        <v>101.85</v>
      </c>
      <c r="G21" s="264"/>
      <c r="H21" s="780">
        <f>J21/I21</f>
        <v>10.754716981132075</v>
      </c>
      <c r="I21" s="863">
        <v>10.6</v>
      </c>
      <c r="J21" s="862">
        <v>114</v>
      </c>
      <c r="K21" s="813">
        <v>100.4</v>
      </c>
      <c r="L21" s="814">
        <f t="shared" si="10"/>
        <v>0.11929824561403504</v>
      </c>
      <c r="M21" s="787">
        <f>O21/N21</f>
        <v>11.29245283018868</v>
      </c>
      <c r="N21" s="302">
        <f>I21</f>
        <v>10.6</v>
      </c>
      <c r="O21" s="790">
        <f t="shared" si="22"/>
        <v>119.7</v>
      </c>
      <c r="P21" s="304"/>
      <c r="Q21" s="303"/>
      <c r="R21" s="793">
        <f>M21+P21</f>
        <v>11.29245283018868</v>
      </c>
      <c r="S21" s="794">
        <f>T21/R21</f>
        <v>10.6</v>
      </c>
      <c r="T21" s="795">
        <f>O21+Q21</f>
        <v>119.7</v>
      </c>
      <c r="U21" s="793">
        <f>W21/V21</f>
        <v>10.216981132075471</v>
      </c>
      <c r="V21" s="794">
        <f>I21</f>
        <v>10.6</v>
      </c>
      <c r="W21" s="790">
        <f t="shared" si="23"/>
        <v>108.3</v>
      </c>
      <c r="X21" s="301"/>
      <c r="Y21" s="303"/>
      <c r="Z21" s="805">
        <f>U21+X21</f>
        <v>10.216981132075471</v>
      </c>
      <c r="AA21" s="794">
        <f>AB21/Z21</f>
        <v>10.6</v>
      </c>
      <c r="AB21" s="795">
        <f>W21+Y21</f>
        <v>108.3</v>
      </c>
      <c r="AC21" s="793">
        <f>(Z21+R21)/2</f>
        <v>10.754716981132075</v>
      </c>
      <c r="AD21" s="794">
        <f>AE21/AC21</f>
        <v>10.6</v>
      </c>
      <c r="AE21" s="839">
        <f t="shared" si="24"/>
        <v>114</v>
      </c>
      <c r="AF21" s="257"/>
      <c r="AG21" s="812">
        <f t="shared" si="8"/>
        <v>-0.11929307805596472</v>
      </c>
    </row>
    <row r="22" spans="1:33" x14ac:dyDescent="0.2">
      <c r="A22" s="309" t="s">
        <v>69</v>
      </c>
      <c r="B22" s="780">
        <f>F22/C22</f>
        <v>8.6340579710144922</v>
      </c>
      <c r="C22" s="299">
        <v>13.8</v>
      </c>
      <c r="D22" s="300">
        <v>130</v>
      </c>
      <c r="E22" s="300">
        <v>108.3</v>
      </c>
      <c r="F22" s="833">
        <f>(D22+E22)/2</f>
        <v>119.15</v>
      </c>
      <c r="G22" s="264"/>
      <c r="H22" s="780">
        <f>J22/I22</f>
        <v>9.08</v>
      </c>
      <c r="I22" s="863">
        <v>12.5</v>
      </c>
      <c r="J22" s="862">
        <v>113.5</v>
      </c>
      <c r="K22" s="813">
        <v>113.1</v>
      </c>
      <c r="L22" s="814">
        <f>(J22-(K22+K23+K24+K25))/J22</f>
        <v>3.5242290748899179E-3</v>
      </c>
      <c r="M22" s="787">
        <f>O22/N22</f>
        <v>9.5340000000000007</v>
      </c>
      <c r="N22" s="302">
        <f>I22</f>
        <v>12.5</v>
      </c>
      <c r="O22" s="790">
        <f t="shared" si="22"/>
        <v>119.17500000000001</v>
      </c>
      <c r="P22" s="304"/>
      <c r="Q22" s="303"/>
      <c r="R22" s="793">
        <f>M22+P22</f>
        <v>9.5340000000000007</v>
      </c>
      <c r="S22" s="794">
        <f>T22/R22</f>
        <v>12.5</v>
      </c>
      <c r="T22" s="795">
        <f>O22+Q22</f>
        <v>119.17500000000001</v>
      </c>
      <c r="U22" s="793">
        <f>W22/V22</f>
        <v>8.6259999999999994</v>
      </c>
      <c r="V22" s="794">
        <f>I22</f>
        <v>12.5</v>
      </c>
      <c r="W22" s="790">
        <f t="shared" si="23"/>
        <v>107.82499999999999</v>
      </c>
      <c r="X22" s="301"/>
      <c r="Y22" s="303"/>
      <c r="Z22" s="805">
        <f>U22+X22</f>
        <v>8.6259999999999994</v>
      </c>
      <c r="AA22" s="794">
        <f>AB22/Z22</f>
        <v>12.5</v>
      </c>
      <c r="AB22" s="795">
        <f>W22+Y22</f>
        <v>107.82499999999999</v>
      </c>
      <c r="AC22" s="793">
        <f>(Z22+R22)/2</f>
        <v>9.08</v>
      </c>
      <c r="AD22" s="794">
        <f>AE22/AC22</f>
        <v>12.5</v>
      </c>
      <c r="AE22" s="839">
        <f t="shared" si="24"/>
        <v>113.5</v>
      </c>
      <c r="AF22" s="257"/>
      <c r="AG22" s="812">
        <f t="shared" si="8"/>
        <v>4.7419219471254763E-2</v>
      </c>
    </row>
    <row r="23" spans="1:33" ht="17" thickBot="1" x14ac:dyDescent="0.25">
      <c r="A23" s="312" t="s">
        <v>70</v>
      </c>
      <c r="B23" s="780"/>
      <c r="C23" s="299"/>
      <c r="D23" s="300"/>
      <c r="E23" s="300"/>
      <c r="F23" s="833"/>
      <c r="G23" s="264"/>
      <c r="H23" s="780"/>
      <c r="I23" s="863"/>
      <c r="J23" s="862"/>
      <c r="K23" s="813"/>
      <c r="L23" s="814"/>
      <c r="M23" s="787"/>
      <c r="N23" s="302"/>
      <c r="O23" s="790"/>
      <c r="P23" s="304"/>
      <c r="Q23" s="303"/>
      <c r="R23" s="793"/>
      <c r="S23" s="794"/>
      <c r="T23" s="795"/>
      <c r="U23" s="793"/>
      <c r="V23" s="794"/>
      <c r="W23" s="790"/>
      <c r="X23" s="301"/>
      <c r="Y23" s="303"/>
      <c r="Z23" s="805"/>
      <c r="AA23" s="794"/>
      <c r="AB23" s="795"/>
      <c r="AC23" s="793"/>
      <c r="AD23" s="794"/>
      <c r="AE23" s="839"/>
      <c r="AF23" s="257"/>
      <c r="AG23" s="812"/>
    </row>
    <row r="24" spans="1:33" ht="17" thickBot="1" x14ac:dyDescent="0.25">
      <c r="A24" s="312" t="s">
        <v>71</v>
      </c>
      <c r="B24" s="780"/>
      <c r="C24" s="299"/>
      <c r="D24" s="300"/>
      <c r="E24" s="300"/>
      <c r="F24" s="833"/>
      <c r="G24" s="264"/>
      <c r="H24" s="780"/>
      <c r="I24" s="863"/>
      <c r="J24" s="862"/>
      <c r="K24" s="813"/>
      <c r="L24" s="814"/>
      <c r="M24" s="787"/>
      <c r="N24" s="302"/>
      <c r="O24" s="790"/>
      <c r="P24" s="304"/>
      <c r="Q24" s="303"/>
      <c r="R24" s="793"/>
      <c r="S24" s="794"/>
      <c r="T24" s="795"/>
      <c r="U24" s="793"/>
      <c r="V24" s="794"/>
      <c r="W24" s="790"/>
      <c r="X24" s="301"/>
      <c r="Y24" s="303"/>
      <c r="Z24" s="805"/>
      <c r="AA24" s="794"/>
      <c r="AB24" s="795"/>
      <c r="AC24" s="793"/>
      <c r="AD24" s="794"/>
      <c r="AE24" s="839"/>
      <c r="AF24" s="257"/>
      <c r="AG24" s="812"/>
    </row>
    <row r="25" spans="1:33" ht="17" thickBot="1" x14ac:dyDescent="0.25">
      <c r="A25" s="312" t="s">
        <v>72</v>
      </c>
      <c r="B25" s="780"/>
      <c r="C25" s="299"/>
      <c r="D25" s="300"/>
      <c r="E25" s="300"/>
      <c r="F25" s="833"/>
      <c r="G25" s="264"/>
      <c r="H25" s="780"/>
      <c r="I25" s="863"/>
      <c r="J25" s="862"/>
      <c r="K25" s="813"/>
      <c r="L25" s="814"/>
      <c r="M25" s="787"/>
      <c r="N25" s="302"/>
      <c r="O25" s="790"/>
      <c r="P25" s="304"/>
      <c r="Q25" s="303"/>
      <c r="R25" s="793"/>
      <c r="S25" s="794"/>
      <c r="T25" s="795"/>
      <c r="U25" s="793"/>
      <c r="V25" s="794"/>
      <c r="W25" s="790"/>
      <c r="X25" s="301"/>
      <c r="Y25" s="303"/>
      <c r="Z25" s="805"/>
      <c r="AA25" s="794"/>
      <c r="AB25" s="795"/>
      <c r="AC25" s="793"/>
      <c r="AD25" s="794"/>
      <c r="AE25" s="839"/>
      <c r="AF25" s="257"/>
      <c r="AG25" s="812"/>
    </row>
    <row r="26" spans="1:33" x14ac:dyDescent="0.2">
      <c r="A26" s="309" t="s">
        <v>73</v>
      </c>
      <c r="B26" s="780">
        <f t="shared" si="0"/>
        <v>1.0614525139664805</v>
      </c>
      <c r="C26" s="299">
        <v>17.899999999999999</v>
      </c>
      <c r="D26" s="300">
        <v>22.4</v>
      </c>
      <c r="E26" s="300">
        <v>15.6</v>
      </c>
      <c r="F26" s="833">
        <f t="shared" si="1"/>
        <v>19</v>
      </c>
      <c r="G26" s="264"/>
      <c r="H26" s="780">
        <f t="shared" si="9"/>
        <v>0.86190476190476195</v>
      </c>
      <c r="I26" s="863">
        <v>21</v>
      </c>
      <c r="J26" s="862">
        <v>18.100000000000001</v>
      </c>
      <c r="K26" s="813">
        <v>15.2</v>
      </c>
      <c r="L26" s="814">
        <f t="shared" si="10"/>
        <v>0.16022099447513824</v>
      </c>
      <c r="M26" s="787">
        <f>O26/N26</f>
        <v>0.90500000000000014</v>
      </c>
      <c r="N26" s="302">
        <f>I26</f>
        <v>21</v>
      </c>
      <c r="O26" s="790">
        <f>J26*1.05</f>
        <v>19.005000000000003</v>
      </c>
      <c r="P26" s="304"/>
      <c r="Q26" s="303"/>
      <c r="R26" s="793">
        <f t="shared" si="12"/>
        <v>0.90500000000000014</v>
      </c>
      <c r="S26" s="794">
        <f t="shared" si="13"/>
        <v>21</v>
      </c>
      <c r="T26" s="795">
        <f t="shared" si="20"/>
        <v>19.005000000000003</v>
      </c>
      <c r="U26" s="793">
        <f t="shared" si="14"/>
        <v>0.81880952380952388</v>
      </c>
      <c r="V26" s="794">
        <f>I26</f>
        <v>21</v>
      </c>
      <c r="W26" s="790">
        <f>(2*J26)-O26</f>
        <v>17.195</v>
      </c>
      <c r="X26" s="301"/>
      <c r="Y26" s="303"/>
      <c r="Z26" s="805">
        <f t="shared" si="15"/>
        <v>0.81880952380952388</v>
      </c>
      <c r="AA26" s="794">
        <f t="shared" si="16"/>
        <v>21</v>
      </c>
      <c r="AB26" s="795">
        <f t="shared" si="17"/>
        <v>17.195</v>
      </c>
      <c r="AC26" s="793">
        <f>(Z26+R26)/2</f>
        <v>0.86190476190476195</v>
      </c>
      <c r="AD26" s="794">
        <f t="shared" si="18"/>
        <v>21</v>
      </c>
      <c r="AE26" s="839">
        <f>(AB26+T26)/2</f>
        <v>18.100000000000001</v>
      </c>
      <c r="AF26" s="257"/>
      <c r="AG26" s="812">
        <f t="shared" si="8"/>
        <v>4.7368421052631504E-2</v>
      </c>
    </row>
    <row r="27" spans="1:33" x14ac:dyDescent="0.2">
      <c r="A27" s="309" t="s">
        <v>74</v>
      </c>
      <c r="B27" s="780">
        <f t="shared" ref="B27:B31" si="25">F27/C27</f>
        <v>4.9096385542168672</v>
      </c>
      <c r="C27" s="299">
        <v>16.600000000000001</v>
      </c>
      <c r="D27" s="300">
        <v>88.5</v>
      </c>
      <c r="E27" s="300">
        <v>74.5</v>
      </c>
      <c r="F27" s="833">
        <f t="shared" ref="F27:F31" si="26">(D27+E27)/2</f>
        <v>81.5</v>
      </c>
      <c r="G27" s="264"/>
      <c r="H27" s="780">
        <f>J27/I27</f>
        <v>5.671532846715329</v>
      </c>
      <c r="I27" s="863">
        <v>13.7</v>
      </c>
      <c r="J27" s="862">
        <v>77.7</v>
      </c>
      <c r="K27" s="813">
        <v>72</v>
      </c>
      <c r="L27" s="814">
        <f t="shared" si="10"/>
        <v>7.3359073359073393E-2</v>
      </c>
      <c r="M27" s="787">
        <f>O27/N27</f>
        <v>5.9551094890510958</v>
      </c>
      <c r="N27" s="302">
        <f>I27</f>
        <v>13.7</v>
      </c>
      <c r="O27" s="790">
        <f>J27*1.05</f>
        <v>81.585000000000008</v>
      </c>
      <c r="P27" s="304"/>
      <c r="Q27" s="303"/>
      <c r="R27" s="793">
        <f>M27+P27</f>
        <v>5.9551094890510958</v>
      </c>
      <c r="S27" s="794">
        <f>T27/R27</f>
        <v>13.7</v>
      </c>
      <c r="T27" s="795">
        <f>O27+Q27</f>
        <v>81.585000000000008</v>
      </c>
      <c r="U27" s="793">
        <f>W27/V27</f>
        <v>5.3879562043795621</v>
      </c>
      <c r="V27" s="794">
        <f>I27</f>
        <v>13.7</v>
      </c>
      <c r="W27" s="790">
        <f>(2*J27)-O27</f>
        <v>73.814999999999998</v>
      </c>
      <c r="X27" s="301"/>
      <c r="Y27" s="303"/>
      <c r="Z27" s="805">
        <f>U27+X27</f>
        <v>5.3879562043795621</v>
      </c>
      <c r="AA27" s="794">
        <f>AB27/Z27</f>
        <v>13.7</v>
      </c>
      <c r="AB27" s="795">
        <f>W27+Y27</f>
        <v>73.814999999999998</v>
      </c>
      <c r="AC27" s="793">
        <f>(Z27+R27)/2</f>
        <v>5.671532846715329</v>
      </c>
      <c r="AD27" s="794">
        <f>AE27/AC27</f>
        <v>13.7</v>
      </c>
      <c r="AE27" s="839">
        <f>(AB27+T27)/2</f>
        <v>77.7</v>
      </c>
      <c r="AF27" s="257"/>
      <c r="AG27" s="812">
        <f t="shared" si="8"/>
        <v>4.6625766871165611E-2</v>
      </c>
    </row>
    <row r="28" spans="1:33" x14ac:dyDescent="0.2">
      <c r="A28" s="309" t="s">
        <v>99</v>
      </c>
      <c r="B28" s="780">
        <f t="shared" si="25"/>
        <v>5.6192893401015223</v>
      </c>
      <c r="C28" s="299">
        <v>19.7</v>
      </c>
      <c r="D28" s="300">
        <v>126.1</v>
      </c>
      <c r="E28" s="300">
        <v>95.3</v>
      </c>
      <c r="F28" s="833">
        <f t="shared" si="26"/>
        <v>110.69999999999999</v>
      </c>
      <c r="G28" s="264"/>
      <c r="H28" s="780">
        <f>J28/I28</f>
        <v>7.7816901408450709</v>
      </c>
      <c r="I28" s="863">
        <v>14.2</v>
      </c>
      <c r="J28" s="862">
        <v>110.5</v>
      </c>
      <c r="K28" s="813">
        <v>99.6</v>
      </c>
      <c r="L28" s="814">
        <f t="shared" si="10"/>
        <v>9.8642533936651636E-2</v>
      </c>
      <c r="M28" s="787">
        <f>O28/N28</f>
        <v>8.170774647887324</v>
      </c>
      <c r="N28" s="302">
        <f>I28</f>
        <v>14.2</v>
      </c>
      <c r="O28" s="790">
        <f>J28*1.05</f>
        <v>116.02500000000001</v>
      </c>
      <c r="P28" s="304"/>
      <c r="Q28" s="303"/>
      <c r="R28" s="793">
        <f>M28+P28</f>
        <v>8.170774647887324</v>
      </c>
      <c r="S28" s="794">
        <f>T28/R28</f>
        <v>14.200000000000001</v>
      </c>
      <c r="T28" s="795">
        <f>O28+Q28</f>
        <v>116.02500000000001</v>
      </c>
      <c r="U28" s="793">
        <f>W28/V28</f>
        <v>7.392605633802817</v>
      </c>
      <c r="V28" s="794">
        <f>I28</f>
        <v>14.2</v>
      </c>
      <c r="W28" s="790">
        <f>(2*J28)-O28</f>
        <v>104.97499999999999</v>
      </c>
      <c r="X28" s="301"/>
      <c r="Y28" s="303"/>
      <c r="Z28" s="805">
        <f>U28+X28</f>
        <v>7.392605633802817</v>
      </c>
      <c r="AA28" s="794">
        <f>AB28/Z28</f>
        <v>14.2</v>
      </c>
      <c r="AB28" s="795">
        <f>W28+Y28</f>
        <v>104.97499999999999</v>
      </c>
      <c r="AC28" s="793">
        <f>(Z28+R28)/2</f>
        <v>7.78169014084507</v>
      </c>
      <c r="AD28" s="794">
        <f>AE28/AC28</f>
        <v>14.200000000000001</v>
      </c>
      <c r="AE28" s="839">
        <f>(AB28+T28)/2</f>
        <v>110.5</v>
      </c>
      <c r="AF28" s="257"/>
      <c r="AG28" s="812">
        <f t="shared" si="8"/>
        <v>1.8066847335138994E-3</v>
      </c>
    </row>
    <row r="29" spans="1:33" ht="17" thickBot="1" x14ac:dyDescent="0.25">
      <c r="A29" s="312" t="s">
        <v>75</v>
      </c>
      <c r="B29" s="780"/>
      <c r="C29" s="299"/>
      <c r="D29" s="300"/>
      <c r="E29" s="300"/>
      <c r="F29" s="833"/>
      <c r="G29" s="264"/>
      <c r="H29" s="780"/>
      <c r="I29" s="863"/>
      <c r="J29" s="862"/>
      <c r="K29" s="813"/>
      <c r="L29" s="814"/>
      <c r="M29" s="787"/>
      <c r="N29" s="302"/>
      <c r="O29" s="790"/>
      <c r="P29" s="304"/>
      <c r="Q29" s="303"/>
      <c r="R29" s="793"/>
      <c r="S29" s="794"/>
      <c r="T29" s="795"/>
      <c r="U29" s="793"/>
      <c r="V29" s="794"/>
      <c r="W29" s="790"/>
      <c r="X29" s="301"/>
      <c r="Y29" s="303"/>
      <c r="Z29" s="805"/>
      <c r="AA29" s="794"/>
      <c r="AB29" s="795"/>
      <c r="AC29" s="793"/>
      <c r="AD29" s="794"/>
      <c r="AE29" s="839"/>
      <c r="AF29" s="257"/>
      <c r="AG29" s="812"/>
    </row>
    <row r="30" spans="1:33" ht="15" customHeight="1" thickBot="1" x14ac:dyDescent="0.25">
      <c r="A30" s="309" t="s">
        <v>76</v>
      </c>
      <c r="B30" s="780">
        <f t="shared" si="25"/>
        <v>20.230337078651687</v>
      </c>
      <c r="C30" s="299">
        <v>26.7</v>
      </c>
      <c r="D30" s="300">
        <v>541.79999999999995</v>
      </c>
      <c r="E30" s="300">
        <v>538.5</v>
      </c>
      <c r="F30" s="833">
        <f t="shared" si="26"/>
        <v>540.15</v>
      </c>
      <c r="G30" s="264"/>
      <c r="H30" s="780">
        <f>J30/I30</f>
        <v>19.645038167938935</v>
      </c>
      <c r="I30" s="863">
        <v>26.2</v>
      </c>
      <c r="J30" s="862">
        <v>514.70000000000005</v>
      </c>
      <c r="K30" s="813">
        <v>512.29999999999995</v>
      </c>
      <c r="L30" s="814">
        <f t="shared" si="10"/>
        <v>4.6629104332622708E-3</v>
      </c>
      <c r="M30" s="787">
        <f>O30/N30</f>
        <v>20.627290076335882</v>
      </c>
      <c r="N30" s="302">
        <f>I30</f>
        <v>26.2</v>
      </c>
      <c r="O30" s="790">
        <f>J30*1.05</f>
        <v>540.43500000000006</v>
      </c>
      <c r="P30" s="304"/>
      <c r="Q30" s="303"/>
      <c r="R30" s="793">
        <f>M30+P30</f>
        <v>20.627290076335882</v>
      </c>
      <c r="S30" s="794">
        <f>T30/R30</f>
        <v>26.2</v>
      </c>
      <c r="T30" s="795">
        <f>O30+Q30</f>
        <v>540.43500000000006</v>
      </c>
      <c r="U30" s="793">
        <f>W30/V30</f>
        <v>18.662786259541985</v>
      </c>
      <c r="V30" s="794">
        <f>I30</f>
        <v>26.2</v>
      </c>
      <c r="W30" s="790">
        <f>(2*J30)-O30</f>
        <v>488.96500000000003</v>
      </c>
      <c r="X30" s="301"/>
      <c r="Y30" s="303"/>
      <c r="Z30" s="805">
        <f>U30+X30</f>
        <v>18.662786259541985</v>
      </c>
      <c r="AA30" s="794">
        <f>AB30/Z30</f>
        <v>26.200000000000003</v>
      </c>
      <c r="AB30" s="795">
        <f>W30+Y30</f>
        <v>488.96500000000003</v>
      </c>
      <c r="AC30" s="793">
        <f>(Z30+R30)/2</f>
        <v>19.645038167938935</v>
      </c>
      <c r="AD30" s="794">
        <f t="shared" ref="AD30:AD31" si="27">AE30/AC30</f>
        <v>26.199999999999996</v>
      </c>
      <c r="AE30" s="839">
        <f>(AB30+T30)/2</f>
        <v>514.70000000000005</v>
      </c>
      <c r="AF30" s="257"/>
      <c r="AG30" s="812">
        <f t="shared" si="8"/>
        <v>4.7116541701379119E-2</v>
      </c>
    </row>
    <row r="31" spans="1:33" x14ac:dyDescent="0.2">
      <c r="A31" s="309" t="s">
        <v>77</v>
      </c>
      <c r="B31" s="783">
        <f t="shared" si="25"/>
        <v>8.3207547169811313</v>
      </c>
      <c r="C31" s="331">
        <v>21.2</v>
      </c>
      <c r="D31" s="332">
        <v>187.2</v>
      </c>
      <c r="E31" s="332">
        <v>165.6</v>
      </c>
      <c r="F31" s="834">
        <f t="shared" si="26"/>
        <v>176.39999999999998</v>
      </c>
      <c r="G31" s="264"/>
      <c r="H31" s="783">
        <f>J31/I31</f>
        <v>8.801047120418847</v>
      </c>
      <c r="I31" s="864">
        <v>19.100000000000001</v>
      </c>
      <c r="J31" s="862">
        <v>168.1</v>
      </c>
      <c r="K31" s="813">
        <v>173.3</v>
      </c>
      <c r="L31" s="814">
        <f t="shared" si="10"/>
        <v>-3.0933967876264231E-2</v>
      </c>
      <c r="M31" s="787">
        <f>O31/N31</f>
        <v>9.2410994764397891</v>
      </c>
      <c r="N31" s="302">
        <f>I31</f>
        <v>19.100000000000001</v>
      </c>
      <c r="O31" s="790">
        <f>J31*1.05</f>
        <v>176.505</v>
      </c>
      <c r="P31" s="304"/>
      <c r="Q31" s="303"/>
      <c r="R31" s="793">
        <f>M31+P31</f>
        <v>9.2410994764397891</v>
      </c>
      <c r="S31" s="794">
        <f>T31/R31</f>
        <v>19.100000000000001</v>
      </c>
      <c r="T31" s="795">
        <f>O31+Q31</f>
        <v>176.505</v>
      </c>
      <c r="U31" s="793">
        <f>W31/V31</f>
        <v>8.3609947643979048</v>
      </c>
      <c r="V31" s="794">
        <f>I31</f>
        <v>19.100000000000001</v>
      </c>
      <c r="W31" s="790">
        <f>(2*J31)-O31</f>
        <v>159.69499999999999</v>
      </c>
      <c r="X31" s="301"/>
      <c r="Y31" s="303"/>
      <c r="Z31" s="805">
        <f>U31+X31</f>
        <v>8.3609947643979048</v>
      </c>
      <c r="AA31" s="794">
        <f>AB31/Z31</f>
        <v>19.100000000000001</v>
      </c>
      <c r="AB31" s="795">
        <f>W31+Y31</f>
        <v>159.69499999999999</v>
      </c>
      <c r="AC31" s="793">
        <f>(Z31+R31)/2</f>
        <v>8.801047120418847</v>
      </c>
      <c r="AD31" s="794">
        <f t="shared" si="27"/>
        <v>19.100000000000001</v>
      </c>
      <c r="AE31" s="839">
        <f>(AB31+T31)/2</f>
        <v>168.1</v>
      </c>
      <c r="AF31" s="257"/>
      <c r="AG31" s="812">
        <f t="shared" si="8"/>
        <v>4.7052154195011249E-2</v>
      </c>
    </row>
    <row r="32" spans="1:33" x14ac:dyDescent="0.2">
      <c r="A32" s="241" t="s">
        <v>100</v>
      </c>
      <c r="B32" s="784">
        <v>0</v>
      </c>
      <c r="C32" s="329">
        <v>0</v>
      </c>
      <c r="D32" s="329">
        <v>0</v>
      </c>
      <c r="E32" s="329">
        <v>0</v>
      </c>
      <c r="F32" s="835">
        <v>0</v>
      </c>
      <c r="G32" s="330"/>
      <c r="H32" s="842">
        <v>23</v>
      </c>
      <c r="I32" s="865"/>
      <c r="J32" s="866">
        <v>8</v>
      </c>
      <c r="K32" s="815"/>
      <c r="L32" s="816"/>
      <c r="M32" s="788">
        <v>15.2</v>
      </c>
      <c r="N32" s="249">
        <f>I32</f>
        <v>0</v>
      </c>
      <c r="O32" s="791">
        <f>J32*1.086</f>
        <v>8.6880000000000006</v>
      </c>
      <c r="P32" s="248"/>
      <c r="Q32" s="250"/>
      <c r="R32" s="796">
        <f>M32</f>
        <v>15.2</v>
      </c>
      <c r="S32" s="797">
        <f>IFERROR(T32/R32,0)</f>
        <v>0.57157894736842108</v>
      </c>
      <c r="T32" s="798">
        <f t="shared" ref="T32:T33" si="28">O32+Q32</f>
        <v>8.6880000000000006</v>
      </c>
      <c r="U32" s="799">
        <v>15.2</v>
      </c>
      <c r="V32" s="800">
        <f>I32</f>
        <v>0</v>
      </c>
      <c r="W32" s="801">
        <f>(2*J32)-O32</f>
        <v>7.3119999999999994</v>
      </c>
      <c r="X32" s="242"/>
      <c r="Y32" s="243"/>
      <c r="Z32" s="807">
        <f>U32</f>
        <v>15.2</v>
      </c>
      <c r="AA32" s="800">
        <f>IFERROR(AB32/Z32,0)</f>
        <v>0.48105263157894734</v>
      </c>
      <c r="AB32" s="808">
        <f t="shared" ref="AB32:AB33" si="29">W32+Y32</f>
        <v>7.3119999999999994</v>
      </c>
      <c r="AC32" s="799">
        <f>(Z32+R32)/2</f>
        <v>15.2</v>
      </c>
      <c r="AD32" s="800">
        <f>IFERROR(AE32/AC32,0)</f>
        <v>0.52631578947368418</v>
      </c>
      <c r="AE32" s="840">
        <f>(AB32+T32)/2</f>
        <v>8</v>
      </c>
      <c r="AF32" s="257"/>
      <c r="AG32" s="812"/>
    </row>
    <row r="33" spans="1:33" ht="17" thickBot="1" x14ac:dyDescent="0.25">
      <c r="A33" s="244" t="s">
        <v>101</v>
      </c>
      <c r="B33" s="785">
        <v>0</v>
      </c>
      <c r="C33" s="333">
        <v>0</v>
      </c>
      <c r="D33" s="333">
        <v>0</v>
      </c>
      <c r="E33" s="333">
        <v>0</v>
      </c>
      <c r="F33" s="836">
        <v>0</v>
      </c>
      <c r="G33" s="334"/>
      <c r="H33" s="785">
        <v>0</v>
      </c>
      <c r="I33" s="867">
        <f>IFERROR(J33/H33,0)</f>
        <v>0</v>
      </c>
      <c r="J33" s="868"/>
      <c r="K33" s="817"/>
      <c r="L33" s="818"/>
      <c r="M33" s="789">
        <v>0</v>
      </c>
      <c r="N33" s="253">
        <f>I33</f>
        <v>0</v>
      </c>
      <c r="O33" s="792">
        <f>J33*1.086</f>
        <v>0</v>
      </c>
      <c r="P33" s="252"/>
      <c r="Q33" s="254"/>
      <c r="R33" s="802">
        <f>M33</f>
        <v>0</v>
      </c>
      <c r="S33" s="803">
        <f>IFERROR(T33/R33,0)</f>
        <v>0</v>
      </c>
      <c r="T33" s="804">
        <f t="shared" si="28"/>
        <v>0</v>
      </c>
      <c r="U33" s="796">
        <f>H33/2</f>
        <v>0</v>
      </c>
      <c r="V33" s="797">
        <f>I33</f>
        <v>0</v>
      </c>
      <c r="W33" s="791">
        <f>(2*J33)-O33</f>
        <v>0</v>
      </c>
      <c r="X33" s="251"/>
      <c r="Y33" s="250"/>
      <c r="Z33" s="788">
        <f>U33</f>
        <v>0</v>
      </c>
      <c r="AA33" s="797">
        <f>IFERROR(AB33/Z33,0)</f>
        <v>0</v>
      </c>
      <c r="AB33" s="798">
        <f t="shared" si="29"/>
        <v>0</v>
      </c>
      <c r="AC33" s="796">
        <f>(Z33+R33)/2</f>
        <v>0</v>
      </c>
      <c r="AD33" s="797">
        <f>IFERROR(AE33/AC33,0)</f>
        <v>0</v>
      </c>
      <c r="AE33" s="841">
        <f>(AB33+T33)/2</f>
        <v>0</v>
      </c>
      <c r="AF33" s="258"/>
      <c r="AG33" s="812"/>
    </row>
    <row r="34" spans="1:33" x14ac:dyDescent="0.2">
      <c r="B34" s="313">
        <f>SUM(B4:B33)</f>
        <v>182.09227447643428</v>
      </c>
      <c r="C34" s="314">
        <f>F34/B34</f>
        <v>19.309990004298911</v>
      </c>
      <c r="D34" s="315">
        <f>SUM(D4:D33)</f>
        <v>3668.3999999999996</v>
      </c>
      <c r="E34" s="315">
        <f>SUM(E4:E33)</f>
        <v>3364.0000000000005</v>
      </c>
      <c r="F34" s="316">
        <f>(D34+E34)/2</f>
        <v>3516.2</v>
      </c>
      <c r="G34" s="317"/>
      <c r="H34" s="318">
        <f>SUM(H4:H33)</f>
        <v>215.13280017629202</v>
      </c>
      <c r="I34" s="319">
        <f>J34/H34</f>
        <v>15.752130763988683</v>
      </c>
      <c r="J34" s="856">
        <f>SUM(J4:J33)</f>
        <v>3388.7999999999997</v>
      </c>
      <c r="K34" s="320">
        <f>SUM(K4:K33)</f>
        <v>3391.7</v>
      </c>
      <c r="L34" s="321">
        <f>(J34-K34)/J34</f>
        <v>-8.5576015108595701E-4</v>
      </c>
      <c r="M34" s="322">
        <f>SUM(M4:M33)</f>
        <v>216.93944018510666</v>
      </c>
      <c r="N34" s="323">
        <f>O34/M34</f>
        <v>16.403324342330912</v>
      </c>
      <c r="O34" s="324">
        <f>SUM(O4:O33)</f>
        <v>3558.5280000000007</v>
      </c>
      <c r="P34" s="325">
        <f>SUM(P4:P33)</f>
        <v>0</v>
      </c>
      <c r="Q34" s="326">
        <f>SUM(Q4:Q33)</f>
        <v>0</v>
      </c>
      <c r="R34" s="325">
        <f>SUM(R4:R33)</f>
        <v>216.93944018510666</v>
      </c>
      <c r="S34" s="736">
        <f>T34/R34</f>
        <v>16.403324342330912</v>
      </c>
      <c r="T34" s="735">
        <f>SUM(T4:T33)</f>
        <v>3558.5280000000007</v>
      </c>
      <c r="U34" s="327">
        <f>SUM(U4:U33)</f>
        <v>197.72616016747742</v>
      </c>
      <c r="V34" s="323">
        <f>W34/U34</f>
        <v>16.280455743809476</v>
      </c>
      <c r="W34" s="324">
        <f>SUM(W4:W33)</f>
        <v>3219.0720000000001</v>
      </c>
      <c r="X34" s="322">
        <f>SUM(X4:X33)</f>
        <v>0</v>
      </c>
      <c r="Y34" s="324">
        <f>SUM(Y4:Y33)</f>
        <v>0</v>
      </c>
      <c r="Z34" s="328">
        <f>SUM(Z4:Z33)</f>
        <v>197.72616016747742</v>
      </c>
      <c r="AA34" s="323">
        <f>AB34/Z34</f>
        <v>16.280455743809476</v>
      </c>
      <c r="AB34" s="324">
        <f>SUM(AB4:AB33)</f>
        <v>3219.0720000000001</v>
      </c>
      <c r="AC34" s="327">
        <f>SUM(AC4:AC33)</f>
        <v>207.33280017629204</v>
      </c>
      <c r="AD34" s="737">
        <f>AE34/AC34</f>
        <v>16.344736564202833</v>
      </c>
      <c r="AE34" s="738">
        <f>(AB34+T34)/2</f>
        <v>3388.8</v>
      </c>
      <c r="AF34" s="228"/>
      <c r="AG34" s="849">
        <f t="shared" si="8"/>
        <v>3.6232296228883479E-2</v>
      </c>
    </row>
    <row r="35" spans="1:33" ht="17" thickBot="1" x14ac:dyDescent="0.25">
      <c r="F35" s="245"/>
      <c r="G35" s="245"/>
      <c r="H35" s="837"/>
      <c r="I35" s="838" t="s">
        <v>78</v>
      </c>
      <c r="J35" s="858">
        <f>(J34-F34)/F34</f>
        <v>-3.6232296228883479E-2</v>
      </c>
      <c r="K35" s="247"/>
      <c r="L35" s="247"/>
      <c r="M35" s="130">
        <f>M34*24</f>
        <v>5206.5465644425603</v>
      </c>
      <c r="O35" s="131"/>
      <c r="P35" s="131"/>
      <c r="Q35" s="131"/>
      <c r="R35" s="131"/>
      <c r="S35" s="131"/>
      <c r="T35" s="131"/>
      <c r="U35" s="130">
        <f>U34*24</f>
        <v>4745.4278440194576</v>
      </c>
    </row>
    <row r="36" spans="1:33" x14ac:dyDescent="0.2">
      <c r="H36" s="130">
        <v>200</v>
      </c>
      <c r="I36" s="130">
        <f>J36/H36</f>
        <v>16.944500000000001</v>
      </c>
      <c r="J36" s="131">
        <v>3388.9</v>
      </c>
    </row>
    <row r="38" spans="1:33" x14ac:dyDescent="0.2">
      <c r="A38" s="246" t="s">
        <v>102</v>
      </c>
      <c r="B38" s="903" t="s">
        <v>103</v>
      </c>
      <c r="C38" s="903"/>
      <c r="AE38" s="131"/>
    </row>
    <row r="39" spans="1:33" x14ac:dyDescent="0.2">
      <c r="A39" s="155" t="s">
        <v>104</v>
      </c>
      <c r="B39" s="904"/>
      <c r="C39" s="912" t="s">
        <v>47</v>
      </c>
      <c r="D39" s="912" t="s">
        <v>105</v>
      </c>
      <c r="E39" s="912" t="s">
        <v>106</v>
      </c>
      <c r="F39" s="912" t="s">
        <v>107</v>
      </c>
      <c r="J39" s="130"/>
      <c r="K39" s="131"/>
      <c r="X39" s="131"/>
      <c r="AF39" s="131"/>
    </row>
    <row r="40" spans="1:33" x14ac:dyDescent="0.2">
      <c r="A40" s="155" t="s">
        <v>108</v>
      </c>
      <c r="B40" s="905" t="s">
        <v>109</v>
      </c>
      <c r="C40" s="340">
        <f>(+Anthropology!D4+Anthropology!D7+Art!D4+Art!D7+Biology!D4+Biology!D7+'Black Studies'!D4+'Black Studies'!D7+Chemistry!D4+Chemistry!D7+'Chicano-A Studies'!D4+'Chicano-A Studies'!D7+Communication!D4+Communication!D7+'Comp Sci-Mechatronics Eng'!D4+'Comp Sci-Mechatronics Eng'!D7+English!D4+English!D7+ESRM!D4+ESRM!D7+Geology!D4+Geology!D7+'Global Languages'!D4+'Global Languages'!D7+'Health Sciences'!D4+'Health Sciences'!D7+Hist!D4+Hist!D7+Math!D4+Math!D7+Nursing!D4+Nursing!D7+'Performing Arts'!D4+'Performing Arts'!D7+Physics!D4+Physics!D7+Philosophy!D7+Philosophy!D4+Psychology!D4+Psychology!D7+Sociology!D4+Sociology!D7+'Political Sci-Glob Studies-MPA'!D4+'Political Sci-Glob Studies-MPA'!D7)/2</f>
        <v>128.75</v>
      </c>
      <c r="D40" s="340">
        <f>+E40/24</f>
        <v>88.066666666666663</v>
      </c>
      <c r="E40" s="907">
        <f>+Anthropology!E47+Anthropology!H47+Art!E57+Art!H57+Biology!E47+Biology!H47+'Black Studies'!E47+'Black Studies'!H47+Chemistry!E61+Chemistry!H61+'Chicano-A Studies'!H47+'Chicano-A Studies'!E47+Communication!E48+Communication!H48+'Comp Sci-Mechatronics Eng'!E46+'Comp Sci-Mechatronics Eng'!H46+English!E46+English!H46+ESRM!E47+ESRM!H47+Geology!E47+Geology!H47+'Global Languages'!E47+'Global Languages'!H47+'Health Sciences'!H47+'Health Sciences'!E47+Hist!H47+Hist!E47+Math!E47+Math!H47+Nursing!H46+Nursing!E46+'Performing Arts'!H47+'Performing Arts'!E47+Physics!E49+Physics!H49+Philosophy!H47+Philosophy!E47+'Physical Sciences'!E47+'Physical Sciences'!H47+'Political Sci-Glob Studies-MPA'!E47+'Political Sci-Glob Studies-MPA'!H47+Psychology!E47+Psychology!H47+Sociology!H47+Sociology!E47</f>
        <v>2113.6</v>
      </c>
      <c r="J40" s="130"/>
      <c r="K40" s="131"/>
      <c r="AF40" s="131"/>
    </row>
    <row r="41" spans="1:33" x14ac:dyDescent="0.2">
      <c r="A41" s="155" t="s">
        <v>110</v>
      </c>
      <c r="B41" s="905"/>
      <c r="E41" s="907"/>
      <c r="J41" s="130"/>
      <c r="K41" s="131"/>
      <c r="AF41" s="131"/>
    </row>
    <row r="42" spans="1:33" x14ac:dyDescent="0.2">
      <c r="A42" s="155" t="s">
        <v>111</v>
      </c>
      <c r="B42" s="905" t="s">
        <v>112</v>
      </c>
      <c r="C42" s="918" t="e">
        <f>+#REF!-C40</f>
        <v>#REF!</v>
      </c>
      <c r="D42" s="918">
        <f>+E42/15</f>
        <v>110.06560035258408</v>
      </c>
      <c r="E42" s="919">
        <f>+Anthropology!E49+Anthropology!H49+Art!E59+Art!H59+Biology!E49+Biology!H49+'Black Studies'!E49+'Black Studies'!H49+Chemistry!E63+Chemistry!H63+'Chicano-A Studies'!H49+'Chicano-A Studies'!E49+Communication!E50+Communication!H50+'Comp Sci-Mechatronics Eng'!E48+'Comp Sci-Mechatronics Eng'!H48+English!E48+English!H48+ESRM!E49+ESRM!H49+Geology!E49+Geology!H49+'Global Languages'!E49+'Global Languages'!H49+'Health Sciences'!H49+'Health Sciences'!E49+Hist!H49+Hist!E49+Math!E49+Math!H49+Nursing!H48+Nursing!E48+'Performing Arts'!H49+'Performing Arts'!E49+Physics!E51+Physics!H51+Philosophy!H49+Philosophy!E49+'Political Sci-Glob Studies-MPA'!E49+'Political Sci-Glob Studies-MPA'!H49+Psychology!E49+Psychology!H49+Sociology!H49+Sociology!E49-E48</f>
        <v>1650.9840052887612</v>
      </c>
      <c r="F42" s="920">
        <f>+E42*2646</f>
        <v>4368503.6779940622</v>
      </c>
      <c r="J42" s="130"/>
      <c r="K42" s="131"/>
      <c r="AF42" s="131"/>
    </row>
    <row r="43" spans="1:33" x14ac:dyDescent="0.2">
      <c r="A43" s="155" t="s">
        <v>113</v>
      </c>
      <c r="B43" s="905" t="s">
        <v>114</v>
      </c>
      <c r="C43" s="131" t="e">
        <f>+C40+C42</f>
        <v>#REF!</v>
      </c>
      <c r="D43" s="131">
        <f>+D40+D42</f>
        <v>198.13226701925075</v>
      </c>
      <c r="E43" s="908"/>
      <c r="F43" s="916"/>
      <c r="J43" s="130"/>
      <c r="K43" s="131"/>
      <c r="AF43" s="131"/>
    </row>
    <row r="44" spans="1:33" x14ac:dyDescent="0.2">
      <c r="A44" s="155" t="s">
        <v>115</v>
      </c>
      <c r="B44" s="905"/>
      <c r="D44" s="131"/>
      <c r="E44" s="905"/>
      <c r="F44" s="916"/>
      <c r="J44" s="130"/>
      <c r="K44" s="131"/>
      <c r="AF44" s="131"/>
    </row>
    <row r="45" spans="1:33" x14ac:dyDescent="0.2">
      <c r="A45" s="155" t="s">
        <v>116</v>
      </c>
      <c r="B45" s="903" t="s">
        <v>117</v>
      </c>
      <c r="E45" s="903"/>
      <c r="F45" s="916"/>
      <c r="J45" s="130"/>
      <c r="K45" s="131"/>
      <c r="AF45" s="131"/>
    </row>
    <row r="46" spans="1:33" x14ac:dyDescent="0.2">
      <c r="A46" s="155" t="s">
        <v>118</v>
      </c>
      <c r="B46" s="905" t="s">
        <v>119</v>
      </c>
      <c r="D46" s="921">
        <f>E46/15</f>
        <v>26.193333333333332</v>
      </c>
      <c r="E46" s="955">
        <f>+Anthropology!E48+Anthropology!H48+Art!H58+Art!E58+Biology!E48+Biology!H48+'Black Studies'!H48+'Black Studies'!E48+Chemistry!E62+Chemistry!H62+'Chicano-A Studies'!H48+'Chicano-A Studies'!E48+Communication!H49+Communication!E49+'Comp Sci-Mechatronics Eng'!E47+'Comp Sci-Mechatronics Eng'!H47+English!E47+English!H47+ESRM!E48+ESRM!H48+Geology!E48+Geology!H48+'Global Languages'!E48+'Global Languages'!H48+'Health Sciences'!H48+'Health Sciences'!E48+Hist!H48+Hist!E48+Math!E48+Math!H48+Nursing!E47+Nursing!H47+'Performing Arts'!H48+'Performing Arts'!E48+Physics!E50+Physics!H50+Philosophy!H48+Philosophy!E48+'Political Sci-Glob Studies-MPA'!E48+'Political Sci-Glob Studies-MPA'!H48+Psychology!H48+Psychology!E48+Sociology!H48+Sociology!E48-E47-E49</f>
        <v>392.9</v>
      </c>
      <c r="F46" s="916">
        <f>+E46*2646</f>
        <v>1039613.3999999999</v>
      </c>
      <c r="J46" s="130"/>
      <c r="K46" s="131"/>
      <c r="AF46" s="131"/>
    </row>
    <row r="47" spans="1:33" x14ac:dyDescent="0.2">
      <c r="A47" s="155" t="s">
        <v>120</v>
      </c>
      <c r="B47" s="905" t="s">
        <v>121</v>
      </c>
      <c r="C47" s="905"/>
      <c r="D47" s="921">
        <f t="shared" ref="D47:D50" si="30">E47/15</f>
        <v>6.2</v>
      </c>
      <c r="E47" s="956">
        <v>93</v>
      </c>
      <c r="F47" s="916"/>
      <c r="J47" s="130"/>
      <c r="K47" s="131"/>
      <c r="AF47" s="131"/>
    </row>
    <row r="48" spans="1:33" x14ac:dyDescent="0.2">
      <c r="A48" s="155" t="s">
        <v>122</v>
      </c>
      <c r="B48" s="905" t="s">
        <v>123</v>
      </c>
      <c r="C48" s="905"/>
      <c r="D48" s="921">
        <f t="shared" si="30"/>
        <v>14.9</v>
      </c>
      <c r="E48" s="915">
        <f>+Anthropology!D37+Anthropology!G37+Art!D37+Art!G37+Biology!D37+Biology!G37+'Black Studies'!D37+'Black Studies'!G37+Chemistry!D58+Chemistry!G58+'Chicano-A Studies'!D37+'Chicano-A Studies'!G37+Communication!D36+Communication!G36+'Comp Sci-Mechatronics Eng'!D36+'Comp Sci-Mechatronics Eng'!G36+English!D36+English!G36+ESRM!D37+ESRM!G37+Geology!D37+Geology!G37+'Global Languages'!D37+'Global Languages'!G37+'Health Sciences'!D44+'Health Sciences'!G44+Hist!D37+Hist!G37+Math!D37+Math!G37+Nursing!D36+Nursing!G36+'Performing Arts'!D37+'Performing Arts'!G37+Physics!D37+Physics!G37+Philosophy!D37+Philosophy!G37+'Political Sci-Glob Studies-MPA'!D37+'Political Sci-Glob Studies-MPA'!G37+Psychology!D37+Psychology!G37+Sociology!D37+Sociology!G37</f>
        <v>223.5</v>
      </c>
      <c r="F48" s="916">
        <f>+E48*2646</f>
        <v>591381</v>
      </c>
      <c r="J48" s="130"/>
      <c r="K48" s="131"/>
      <c r="AF48" s="131"/>
    </row>
    <row r="49" spans="1:32" x14ac:dyDescent="0.2">
      <c r="A49" s="155" t="s">
        <v>124</v>
      </c>
      <c r="B49" s="905" t="s">
        <v>125</v>
      </c>
      <c r="C49" s="904"/>
      <c r="D49" s="921">
        <f t="shared" si="30"/>
        <v>16.533333333333335</v>
      </c>
      <c r="E49" s="958">
        <f>+Anthropology!E37+Anthropology!H37+Art!E37+Art!H37+Biology!E37+Biology!H37+'Black Studies'!E37+'Black Studies'!H37+Chemistry!E37+Chemistry!H37+'Chicano-A Studies'!E37+'Chicano-A Studies'!H37+Communication!E36+Communication!H36+'Comp Sci-Mechatronics Eng'!E36+'Comp Sci-Mechatronics Eng'!H36+English!E36+English!H36+ESRM!E37+ESRM!H37+Geology!E37+Geology!H37+'Global Languages'!E37+'Global Languages'!H37+'Health Sciences'!E37+'Health Sciences'!H37+Hist!E37+Hist!H37+Math!E37+Math!H37+Nursing!E36+Nursing!H36+'Performing Arts'!E37+'Performing Arts'!H37+Physics!E37+Physics!H37+Philosophy!E37+Philosophy!H37+'Political Sci-Glob Studies-MPA'!E37+'Political Sci-Glob Studies-MPA'!H37+Psychology!E37+Psychology!H37+Sociology!E37+Sociology!H37</f>
        <v>248</v>
      </c>
      <c r="F49" s="916">
        <f>+E49*2646</f>
        <v>656208</v>
      </c>
      <c r="J49" s="130"/>
      <c r="K49" s="131"/>
      <c r="AF49" s="131"/>
    </row>
    <row r="50" spans="1:32" x14ac:dyDescent="0.2">
      <c r="A50" s="155" t="s">
        <v>126</v>
      </c>
      <c r="B50" s="905" t="s">
        <v>127</v>
      </c>
      <c r="C50" s="904"/>
      <c r="D50" s="921">
        <f t="shared" si="30"/>
        <v>9.6999999999999993</v>
      </c>
      <c r="E50" s="961">
        <f>+Anthropology!J44+Art!J54+Biology!J44+'Black Studies'!J44+Chemistry!J58+'Chicano-A Studies'!J44+Communication!J45+'Comp Sci-Mechatronics Eng'!J43+English!J43+ESRM!J44+Geology!J44+'Global Languages'!J44+'Health Sciences'!J44+Hist!J44+Math!J44+Nursing!J43+'Performing Arts'!J44+Physics!J46+Philosophy!J44+'Political Sci-Glob Studies-MPA'!J44+Psychology!J44+Sociology!J44</f>
        <v>145.5</v>
      </c>
      <c r="F50" s="916">
        <f>+E50*2646</f>
        <v>384993</v>
      </c>
      <c r="J50" s="130"/>
      <c r="K50" s="131"/>
      <c r="AF50" s="131"/>
    </row>
    <row r="51" spans="1:32" x14ac:dyDescent="0.2">
      <c r="A51" s="155" t="s">
        <v>128</v>
      </c>
      <c r="B51" s="906" t="s">
        <v>129</v>
      </c>
      <c r="C51" s="906"/>
      <c r="D51" s="906"/>
      <c r="E51" s="921">
        <f>+E42+E46+E48+E49+E50</f>
        <v>2660.8840052887613</v>
      </c>
      <c r="F51" s="917">
        <f>+F42+F46+F48+F49+F50</f>
        <v>7040699.0779940616</v>
      </c>
      <c r="I51" s="921"/>
      <c r="J51" s="130"/>
      <c r="K51" s="131"/>
      <c r="AF51" s="131"/>
    </row>
    <row r="52" spans="1:32" x14ac:dyDescent="0.2">
      <c r="A52" s="155" t="s">
        <v>130</v>
      </c>
      <c r="B52" s="130" t="s">
        <v>131</v>
      </c>
      <c r="E52" s="921">
        <f>+E51+E40</f>
        <v>4774.4840052887612</v>
      </c>
      <c r="F52" s="921"/>
      <c r="AE52" s="131"/>
    </row>
    <row r="53" spans="1:32" x14ac:dyDescent="0.2">
      <c r="A53" s="155" t="s">
        <v>132</v>
      </c>
      <c r="B53" s="157"/>
      <c r="E53" s="921"/>
      <c r="AE53" s="131"/>
    </row>
    <row r="54" spans="1:32" x14ac:dyDescent="0.2">
      <c r="A54" s="155" t="s">
        <v>133</v>
      </c>
      <c r="AE54" s="131"/>
    </row>
    <row r="55" spans="1:32" x14ac:dyDescent="0.2">
      <c r="A55" s="155"/>
      <c r="AE55" s="131"/>
    </row>
    <row r="56" spans="1:32" ht="19" x14ac:dyDescent="0.25">
      <c r="A56" s="246" t="s">
        <v>134</v>
      </c>
      <c r="B56" s="923" t="s">
        <v>135</v>
      </c>
      <c r="C56" s="924"/>
      <c r="D56" s="924"/>
      <c r="E56" s="925"/>
      <c r="F56" s="924"/>
      <c r="AE56" s="131"/>
    </row>
    <row r="57" spans="1:32" x14ac:dyDescent="0.2">
      <c r="A57" s="169" t="s">
        <v>136</v>
      </c>
      <c r="B57" s="924"/>
      <c r="C57" s="926" t="s">
        <v>47</v>
      </c>
      <c r="D57" s="926" t="s">
        <v>137</v>
      </c>
      <c r="E57" s="926" t="s">
        <v>138</v>
      </c>
      <c r="F57" s="912"/>
      <c r="AE57" s="131"/>
    </row>
    <row r="58" spans="1:32" x14ac:dyDescent="0.2">
      <c r="A58" s="169" t="s">
        <v>139</v>
      </c>
      <c r="B58" s="927" t="s">
        <v>140</v>
      </c>
      <c r="C58" s="928">
        <f>+H34</f>
        <v>215.13280017629202</v>
      </c>
      <c r="D58" s="929">
        <f>SUM(D59:D61)</f>
        <v>5681.4840052887612</v>
      </c>
      <c r="E58" s="930">
        <f>E62</f>
        <v>6857066.6779940613</v>
      </c>
      <c r="F58" s="931"/>
    </row>
    <row r="59" spans="1:32" x14ac:dyDescent="0.2">
      <c r="A59" s="169" t="s">
        <v>141</v>
      </c>
      <c r="B59" s="932" t="s">
        <v>43</v>
      </c>
      <c r="C59" s="933">
        <v>23</v>
      </c>
      <c r="D59" s="934">
        <f>C59*30</f>
        <v>690</v>
      </c>
      <c r="E59" s="935">
        <f>D59*2646</f>
        <v>1825740</v>
      </c>
      <c r="F59" s="957"/>
    </row>
    <row r="60" spans="1:32" x14ac:dyDescent="0.2">
      <c r="A60" s="169" t="s">
        <v>142</v>
      </c>
      <c r="B60" s="932" t="s">
        <v>143</v>
      </c>
      <c r="C60" s="340">
        <f>(+Anthropology!D4+Anthropology!D7+Art!D4+Art!D7+Biology!D4+Biology!D7+'Black Studies'!D4+'Black Studies'!D7+Chemistry!D4+Chemistry!D7+'Chicano-A Studies'!D4+'Chicano-A Studies'!D7+Communication!D4+Communication!D7+'Comp Sci-Mechatronics Eng'!D4+'Comp Sci-Mechatronics Eng'!D7+English!D4+English!D7+ESRM!D4+ESRM!D7+Geology!D4+Geology!D7+'Global Languages'!D4+'Global Languages'!D7+'Health Sciences'!D4+'Health Sciences'!D7+Hist!D4+Hist!D7+Math!D4+Math!D7+Nursing!D4+Nursing!D7+'Performing Arts'!D4+'Performing Arts'!D7+Physics!D4+Physics!D7+Philosophy!D7+Philosophy!D4+Psychology!D4+Psychology!D7+Sociology!D4+Sociology!D7+'Political Sci-Glob Studies-MPA'!D4+'Political Sci-Glob Studies-MPA'!D7)/2</f>
        <v>128.75</v>
      </c>
      <c r="D60" s="936">
        <f>C60*24</f>
        <v>3090</v>
      </c>
      <c r="E60" s="937"/>
      <c r="F60" s="938"/>
    </row>
    <row r="61" spans="1:32" x14ac:dyDescent="0.2">
      <c r="A61" s="169" t="s">
        <v>144</v>
      </c>
      <c r="B61" s="932" t="s">
        <v>145</v>
      </c>
      <c r="C61" s="933">
        <f>C58-C59-C60</f>
        <v>63.382800176292022</v>
      </c>
      <c r="D61" s="939">
        <f>C61*30</f>
        <v>1901.4840052887607</v>
      </c>
      <c r="E61" s="940">
        <f>D61*2646</f>
        <v>5031326.6779940613</v>
      </c>
    </row>
    <row r="62" spans="1:32" x14ac:dyDescent="0.2">
      <c r="A62" s="169" t="s">
        <v>146</v>
      </c>
      <c r="B62" s="941" t="s">
        <v>147</v>
      </c>
      <c r="C62" s="942">
        <f>C59+C61</f>
        <v>86.382800176292022</v>
      </c>
      <c r="D62" s="942">
        <f>D59+D61</f>
        <v>2591.4840052887607</v>
      </c>
      <c r="E62" s="943">
        <f>SUM(E59:E61)</f>
        <v>6857066.6779940613</v>
      </c>
    </row>
    <row r="63" spans="1:32" x14ac:dyDescent="0.2">
      <c r="A63" s="169" t="s">
        <v>148</v>
      </c>
    </row>
    <row r="64" spans="1:32" x14ac:dyDescent="0.2">
      <c r="A64" s="169" t="s">
        <v>149</v>
      </c>
      <c r="B64" s="944" t="s">
        <v>150</v>
      </c>
      <c r="C64" s="945"/>
      <c r="D64" s="946">
        <f>+Anthropology!F37+Anthropology!I37+Art!F37+Art!I37+Biology!F37+Biology!I37+'Black Studies'!F37+'Black Studies'!I37+Chemistry!F37+Chemistry!I37+'Chicano-A Studies'!F37+'Chicano-A Studies'!I37+Communication!F36+Communication!I36+'Comp Sci-Mechatronics Eng'!F36+'Comp Sci-Mechatronics Eng'!I36+English!F36+English!I36+ESRM!F37+ESRM!I37+Geology!F37+Geology!I37+'Global Languages'!F37+'Global Languages'!I37+'Health Sciences'!F37+'Health Sciences'!I37+Hist!F37+Hist!I37+Math!F37+Math!I37+Nursing!F36+Nursing!I36+'Performing Arts'!F37+'Performing Arts'!I37+Physics!F37+Physics!I37+Philosophy!F37+Philosophy!I37+'Political Sci-Glob Studies-MPA'!F37+'Political Sci-Glob Studies-MPA'!I37+Psychology!F37+Psychology!I37+Sociology!F37+Sociology!I37</f>
        <v>485.9</v>
      </c>
      <c r="E64" s="947">
        <f>D64*2646</f>
        <v>1285691.3999999999</v>
      </c>
    </row>
    <row r="65" spans="1:6" ht="19" x14ac:dyDescent="0.25">
      <c r="A65" s="169" t="s">
        <v>151</v>
      </c>
      <c r="B65" s="945" t="s">
        <v>152</v>
      </c>
      <c r="C65" s="948"/>
      <c r="D65" s="948"/>
      <c r="E65" s="949">
        <f>+E62</f>
        <v>6857066.6779940613</v>
      </c>
      <c r="F65" s="950" t="s">
        <v>153</v>
      </c>
    </row>
    <row r="66" spans="1:6" x14ac:dyDescent="0.2">
      <c r="A66" s="169" t="s">
        <v>154</v>
      </c>
      <c r="B66" s="945"/>
    </row>
    <row r="67" spans="1:6" x14ac:dyDescent="0.2">
      <c r="A67" s="169" t="s">
        <v>155</v>
      </c>
      <c r="B67" s="945" t="s">
        <v>156</v>
      </c>
      <c r="C67" s="130">
        <f>+D67/30</f>
        <v>91.796133509625363</v>
      </c>
      <c r="D67" s="131">
        <f>+Anthropology!E60+Art!E67+Biology!E57+'Black Studies'!E57+Chemistry!E71+'Chicano-A Studies'!E56+Communication!E58+'Comp Sci-Mechatronics Eng'!E56+English!E56+ESRM!E56+Geology!E56+'Global Languages'!E56+'Health Sciences'!E57+Hist!E56+Math!E57+Nursing!E55+'Performing Arts'!E56+Physics!E58+Philosophy!E57+'Political Sci-Glob Studies-MPA'!E57+Psychology!E57+Sociology!E57</f>
        <v>2753.8840052887608</v>
      </c>
      <c r="E67" s="951">
        <f>D67*2646</f>
        <v>7286777.0779940607</v>
      </c>
      <c r="F67" s="950" t="s">
        <v>157</v>
      </c>
    </row>
    <row r="68" spans="1:6" x14ac:dyDescent="0.2">
      <c r="A68" s="155" t="s">
        <v>158</v>
      </c>
      <c r="B68" s="944" t="s">
        <v>159</v>
      </c>
      <c r="D68" s="131">
        <f>+E42+E49</f>
        <v>1898.9840052887612</v>
      </c>
      <c r="E68" s="960">
        <f>+D68*2646</f>
        <v>5024711.6779940622</v>
      </c>
      <c r="F68" s="950" t="s">
        <v>160</v>
      </c>
    </row>
    <row r="69" spans="1:6" x14ac:dyDescent="0.2">
      <c r="A69" s="155" t="s">
        <v>161</v>
      </c>
      <c r="B69" s="944" t="s">
        <v>162</v>
      </c>
      <c r="D69" s="131">
        <f>+D67-D68</f>
        <v>854.89999999999964</v>
      </c>
      <c r="E69" s="940">
        <f>+D69*2646</f>
        <v>2262065.399999999</v>
      </c>
      <c r="F69" s="950" t="s">
        <v>163</v>
      </c>
    </row>
    <row r="70" spans="1:6" x14ac:dyDescent="0.2">
      <c r="A70" s="155" t="s">
        <v>164</v>
      </c>
      <c r="B70" s="944" t="s">
        <v>165</v>
      </c>
      <c r="D70" s="954">
        <f>+E47</f>
        <v>93</v>
      </c>
      <c r="E70" s="951"/>
    </row>
    <row r="71" spans="1:6" x14ac:dyDescent="0.2">
      <c r="A71" s="155" t="s">
        <v>166</v>
      </c>
      <c r="B71" s="944" t="s">
        <v>167</v>
      </c>
      <c r="D71" s="131">
        <f>D69-D70</f>
        <v>761.89999999999964</v>
      </c>
      <c r="E71" s="959">
        <f>D71*2646</f>
        <v>2015987.399999999</v>
      </c>
    </row>
    <row r="72" spans="1:6" x14ac:dyDescent="0.2">
      <c r="A72" s="155" t="s">
        <v>168</v>
      </c>
    </row>
    <row r="73" spans="1:6" x14ac:dyDescent="0.2">
      <c r="A73" s="155" t="s">
        <v>169</v>
      </c>
    </row>
    <row r="74" spans="1:6" x14ac:dyDescent="0.2">
      <c r="A74" s="155" t="s">
        <v>170</v>
      </c>
    </row>
    <row r="75" spans="1:6" x14ac:dyDescent="0.2">
      <c r="A75" s="155" t="s">
        <v>171</v>
      </c>
    </row>
    <row r="76" spans="1:6" x14ac:dyDescent="0.2">
      <c r="A76" s="155" t="s">
        <v>172</v>
      </c>
      <c r="D76" s="921"/>
    </row>
    <row r="77" spans="1:6" x14ac:dyDescent="0.2">
      <c r="A77" s="155" t="s">
        <v>173</v>
      </c>
      <c r="D77" s="921"/>
    </row>
    <row r="78" spans="1:6" x14ac:dyDescent="0.2">
      <c r="A78" s="155" t="s">
        <v>174</v>
      </c>
    </row>
    <row r="79" spans="1:6" x14ac:dyDescent="0.2">
      <c r="D79" s="921"/>
    </row>
    <row r="80" spans="1:6" x14ac:dyDescent="0.2">
      <c r="A80" s="246" t="s">
        <v>175</v>
      </c>
      <c r="D80" s="962"/>
    </row>
    <row r="81" spans="1:1" x14ac:dyDescent="0.2">
      <c r="A81" s="155" t="s">
        <v>176</v>
      </c>
    </row>
    <row r="82" spans="1:1" x14ac:dyDescent="0.2">
      <c r="A82" s="155" t="s">
        <v>177</v>
      </c>
    </row>
    <row r="83" spans="1:1" x14ac:dyDescent="0.2">
      <c r="A83" s="155" t="s">
        <v>178</v>
      </c>
    </row>
  </sheetData>
  <sheetProtection algorithmName="SHA-512" hashValue="Tak/JvEBHhKn+eLt2R0WoutW4vbb5DwiAWemmGj+KnNXw0CwQCHtPOJSnzszGVRwJ4TrSoEwQhV6apjSh26KJg==" saltValue="nRezDOJunMFRWW/6Tqpcpw==" spinCount="100000" sheet="1" objects="1" scenarios="1"/>
  <mergeCells count="10">
    <mergeCell ref="X2:Y2"/>
    <mergeCell ref="Z2:AB2"/>
    <mergeCell ref="AC2:AE2"/>
    <mergeCell ref="B2:F2"/>
    <mergeCell ref="H2:J2"/>
    <mergeCell ref="M2:O2"/>
    <mergeCell ref="U2:W2"/>
    <mergeCell ref="P2:Q2"/>
    <mergeCell ref="R2:T2"/>
    <mergeCell ref="K2:L2"/>
  </mergeCells>
  <pageMargins left="0.7" right="0.7" top="0.75" bottom="0.75" header="0.3" footer="0.3"/>
  <pageSetup scale="73" fitToWidth="0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N179"/>
  <sheetViews>
    <sheetView workbookViewId="0">
      <selection activeCell="H50" sqref="H50"/>
    </sheetView>
    <sheetView workbookViewId="1">
      <selection sqref="A1:D1"/>
    </sheetView>
  </sheetViews>
  <sheetFormatPr baseColWidth="10" defaultColWidth="11.1640625" defaultRowHeight="16" x14ac:dyDescent="0.2"/>
  <cols>
    <col min="1" max="1" width="26.5" customWidth="1"/>
    <col min="3" max="3" width="23.1640625" customWidth="1"/>
    <col min="5" max="5" width="1.6640625" style="148" customWidth="1"/>
    <col min="6" max="6" width="38.6640625" customWidth="1"/>
    <col min="7" max="7" width="1.6640625" style="148" customWidth="1"/>
    <col min="8" max="8" width="61.33203125" bestFit="1" customWidth="1"/>
    <col min="9" max="9" width="1.6640625" style="148" customWidth="1"/>
    <col min="10" max="10" width="61.33203125" customWidth="1"/>
    <col min="11" max="11" width="1.6640625" style="148" customWidth="1"/>
    <col min="12" max="12" width="26.5" bestFit="1" customWidth="1"/>
    <col min="13" max="13" width="1.6640625" style="148" customWidth="1"/>
    <col min="14" max="14" width="26.5" bestFit="1" customWidth="1"/>
  </cols>
  <sheetData>
    <row r="1" spans="1:14" ht="19" x14ac:dyDescent="0.25">
      <c r="A1" s="1197" t="s">
        <v>989</v>
      </c>
      <c r="B1" s="1197"/>
      <c r="C1" s="1197"/>
      <c r="D1" s="1197"/>
      <c r="F1" s="150" t="s">
        <v>990</v>
      </c>
      <c r="H1" s="150" t="s">
        <v>991</v>
      </c>
      <c r="J1" s="150" t="s">
        <v>992</v>
      </c>
      <c r="L1" s="150" t="s">
        <v>993</v>
      </c>
      <c r="N1" s="150" t="s">
        <v>994</v>
      </c>
    </row>
    <row r="2" spans="1:14" s="3" customFormat="1" ht="17" x14ac:dyDescent="0.2">
      <c r="A2" s="149" t="s">
        <v>995</v>
      </c>
      <c r="B2" s="149" t="s">
        <v>996</v>
      </c>
      <c r="C2" s="149" t="s">
        <v>597</v>
      </c>
      <c r="D2" s="149" t="s">
        <v>36</v>
      </c>
      <c r="E2" s="143"/>
      <c r="F2" s="149" t="s">
        <v>997</v>
      </c>
      <c r="G2" s="143"/>
      <c r="H2" s="149" t="s">
        <v>997</v>
      </c>
      <c r="I2" s="143"/>
      <c r="J2" s="149" t="s">
        <v>997</v>
      </c>
      <c r="K2" s="143"/>
      <c r="L2" s="149" t="s">
        <v>998</v>
      </c>
      <c r="M2" s="143"/>
      <c r="N2" s="149" t="s">
        <v>998</v>
      </c>
    </row>
    <row r="3" spans="1:14" ht="16.25" customHeight="1" x14ac:dyDescent="0.2">
      <c r="A3" s="170" t="s">
        <v>499</v>
      </c>
      <c r="B3" s="171" t="s">
        <v>999</v>
      </c>
      <c r="C3" s="172" t="s">
        <v>58</v>
      </c>
      <c r="D3" s="171" t="s">
        <v>1000</v>
      </c>
      <c r="E3" s="144"/>
      <c r="F3" s="132" t="s">
        <v>53</v>
      </c>
      <c r="G3" s="144"/>
      <c r="H3" s="132" t="s">
        <v>1001</v>
      </c>
      <c r="I3" s="144"/>
      <c r="J3" s="132" t="s">
        <v>1002</v>
      </c>
      <c r="K3" s="144"/>
      <c r="L3" s="132" t="s">
        <v>43</v>
      </c>
      <c r="M3" s="144"/>
      <c r="N3" s="132" t="s">
        <v>1003</v>
      </c>
    </row>
    <row r="4" spans="1:14" ht="16.25" customHeight="1" x14ac:dyDescent="0.2">
      <c r="A4" s="132" t="s">
        <v>42</v>
      </c>
      <c r="B4" s="134" t="s">
        <v>1004</v>
      </c>
      <c r="C4" s="138" t="s">
        <v>57</v>
      </c>
      <c r="D4" s="134" t="s">
        <v>1005</v>
      </c>
      <c r="E4" s="145"/>
      <c r="F4" s="133" t="s">
        <v>62</v>
      </c>
      <c r="G4" s="145"/>
      <c r="H4" s="133" t="s">
        <v>108</v>
      </c>
      <c r="I4" s="145"/>
      <c r="J4" s="133" t="s">
        <v>1006</v>
      </c>
      <c r="K4" s="145"/>
      <c r="L4" s="133" t="s">
        <v>1007</v>
      </c>
      <c r="M4" s="145"/>
      <c r="N4" s="133" t="s">
        <v>1008</v>
      </c>
    </row>
    <row r="5" spans="1:14" ht="16.25" customHeight="1" x14ac:dyDescent="0.2">
      <c r="A5" s="133" t="s">
        <v>1009</v>
      </c>
      <c r="B5" s="135">
        <v>303769</v>
      </c>
      <c r="C5" s="139" t="s">
        <v>1010</v>
      </c>
      <c r="D5" s="136" t="s">
        <v>1011</v>
      </c>
      <c r="E5" s="144"/>
      <c r="F5" s="132" t="s">
        <v>68</v>
      </c>
      <c r="G5" s="144"/>
      <c r="H5" s="132" t="s">
        <v>596</v>
      </c>
      <c r="I5" s="144"/>
      <c r="J5" s="132" t="s">
        <v>1012</v>
      </c>
      <c r="K5" s="144"/>
      <c r="L5" s="132"/>
      <c r="M5" s="144"/>
      <c r="N5" s="132" t="s">
        <v>1013</v>
      </c>
    </row>
    <row r="6" spans="1:14" ht="16.25" customHeight="1" x14ac:dyDescent="0.2">
      <c r="A6" s="133" t="s">
        <v>883</v>
      </c>
      <c r="B6" s="135" t="s">
        <v>1014</v>
      </c>
      <c r="C6" s="139" t="s">
        <v>76</v>
      </c>
      <c r="D6" s="135" t="s">
        <v>1015</v>
      </c>
      <c r="E6" s="145"/>
      <c r="F6" s="133" t="s">
        <v>1016</v>
      </c>
      <c r="G6" s="145"/>
      <c r="H6" s="133" t="s">
        <v>1017</v>
      </c>
      <c r="I6" s="145"/>
      <c r="J6" s="133" t="s">
        <v>1018</v>
      </c>
      <c r="K6" s="145"/>
      <c r="L6" s="133"/>
      <c r="M6" s="145"/>
      <c r="N6" s="133" t="s">
        <v>1019</v>
      </c>
    </row>
    <row r="7" spans="1:14" ht="16.25" customHeight="1" x14ac:dyDescent="0.2">
      <c r="A7" s="132" t="s">
        <v>531</v>
      </c>
      <c r="B7" s="134" t="s">
        <v>1020</v>
      </c>
      <c r="C7" s="138" t="s">
        <v>60</v>
      </c>
      <c r="D7" s="134" t="s">
        <v>1021</v>
      </c>
      <c r="E7" s="145"/>
      <c r="F7" s="132" t="s">
        <v>1016</v>
      </c>
      <c r="G7" s="145"/>
      <c r="H7" s="132" t="s">
        <v>44</v>
      </c>
      <c r="I7" s="145"/>
      <c r="J7" s="132" t="s">
        <v>1022</v>
      </c>
      <c r="K7" s="145"/>
      <c r="L7" s="132"/>
      <c r="M7" s="145"/>
      <c r="N7" s="132" t="s">
        <v>1023</v>
      </c>
    </row>
    <row r="8" spans="1:14" ht="16.25" customHeight="1" x14ac:dyDescent="0.2">
      <c r="A8" s="133" t="s">
        <v>437</v>
      </c>
      <c r="B8" s="135" t="s">
        <v>1024</v>
      </c>
      <c r="C8" s="139" t="s">
        <v>1025</v>
      </c>
      <c r="D8" s="135" t="s">
        <v>1026</v>
      </c>
      <c r="E8" s="145"/>
      <c r="F8" s="133" t="s">
        <v>60</v>
      </c>
      <c r="G8" s="145"/>
      <c r="H8" s="133" t="s">
        <v>1027</v>
      </c>
      <c r="I8" s="145"/>
      <c r="J8" s="133" t="s">
        <v>1028</v>
      </c>
      <c r="K8" s="145"/>
      <c r="L8" s="133"/>
      <c r="M8" s="145"/>
      <c r="N8" s="133"/>
    </row>
    <row r="9" spans="1:14" ht="16.25" customHeight="1" x14ac:dyDescent="0.2">
      <c r="A9" s="133" t="s">
        <v>324</v>
      </c>
      <c r="B9" s="135" t="s">
        <v>1029</v>
      </c>
      <c r="C9" s="139" t="s">
        <v>1030</v>
      </c>
      <c r="D9" s="135" t="s">
        <v>1031</v>
      </c>
      <c r="E9" s="145"/>
      <c r="F9" s="132" t="s">
        <v>71</v>
      </c>
      <c r="G9" s="145"/>
      <c r="H9" s="133" t="s">
        <v>133</v>
      </c>
      <c r="I9" s="145"/>
      <c r="J9" s="132" t="s">
        <v>1032</v>
      </c>
      <c r="K9" s="145"/>
      <c r="L9" s="132"/>
      <c r="M9" s="145"/>
      <c r="N9" s="132"/>
    </row>
    <row r="10" spans="1:14" ht="16.25" customHeight="1" x14ac:dyDescent="0.2">
      <c r="A10" s="133" t="s">
        <v>326</v>
      </c>
      <c r="B10" s="135" t="s">
        <v>1029</v>
      </c>
      <c r="C10" s="139" t="s">
        <v>1030</v>
      </c>
      <c r="D10" s="135" t="s">
        <v>1033</v>
      </c>
      <c r="E10" s="144"/>
      <c r="F10" s="133" t="s">
        <v>72</v>
      </c>
      <c r="G10" s="144"/>
      <c r="H10" s="132" t="s">
        <v>1034</v>
      </c>
      <c r="I10" s="144"/>
      <c r="J10" s="133" t="s">
        <v>1035</v>
      </c>
      <c r="K10" s="144"/>
      <c r="L10" s="133"/>
      <c r="M10" s="144"/>
      <c r="N10" s="133"/>
    </row>
    <row r="11" spans="1:14" ht="16.25" customHeight="1" x14ac:dyDescent="0.2">
      <c r="A11" s="132" t="s">
        <v>572</v>
      </c>
      <c r="B11" s="134" t="s">
        <v>1036</v>
      </c>
      <c r="C11" s="138" t="s">
        <v>1037</v>
      </c>
      <c r="D11" s="134" t="s">
        <v>1038</v>
      </c>
      <c r="E11" s="144"/>
      <c r="F11" s="132" t="s">
        <v>69</v>
      </c>
      <c r="G11" s="144"/>
      <c r="H11" s="133" t="s">
        <v>1039</v>
      </c>
      <c r="I11" s="144"/>
      <c r="J11" s="132" t="s">
        <v>1003</v>
      </c>
      <c r="K11" s="144"/>
      <c r="L11" s="132"/>
      <c r="M11" s="144"/>
      <c r="N11" s="132"/>
    </row>
    <row r="12" spans="1:14" ht="16.25" customHeight="1" x14ac:dyDescent="0.2">
      <c r="A12" s="132" t="s">
        <v>533</v>
      </c>
      <c r="B12" s="134" t="s">
        <v>1020</v>
      </c>
      <c r="C12" s="138" t="s">
        <v>60</v>
      </c>
      <c r="D12" s="134" t="s">
        <v>1040</v>
      </c>
      <c r="E12" s="144"/>
      <c r="F12" s="133" t="s">
        <v>1041</v>
      </c>
      <c r="G12" s="144"/>
      <c r="I12" s="144"/>
      <c r="J12" s="133"/>
      <c r="K12" s="144"/>
      <c r="L12" s="133"/>
      <c r="M12" s="144"/>
      <c r="N12" s="133"/>
    </row>
    <row r="13" spans="1:14" ht="16.25" customHeight="1" x14ac:dyDescent="0.2">
      <c r="A13" s="133" t="s">
        <v>258</v>
      </c>
      <c r="B13" s="135" t="s">
        <v>1042</v>
      </c>
      <c r="C13" s="139" t="s">
        <v>52</v>
      </c>
      <c r="D13" s="135" t="s">
        <v>1043</v>
      </c>
      <c r="E13" s="144"/>
      <c r="F13" s="132" t="s">
        <v>56</v>
      </c>
      <c r="G13" s="144"/>
      <c r="I13" s="144"/>
      <c r="K13" s="144"/>
      <c r="L13" s="132"/>
      <c r="M13" s="144"/>
      <c r="N13" s="132"/>
    </row>
    <row r="14" spans="1:14" ht="16.25" customHeight="1" x14ac:dyDescent="0.2">
      <c r="A14" s="132" t="s">
        <v>389</v>
      </c>
      <c r="B14" s="134" t="s">
        <v>1044</v>
      </c>
      <c r="C14" s="138" t="s">
        <v>54</v>
      </c>
      <c r="D14" s="134" t="s">
        <v>1045</v>
      </c>
      <c r="E14" s="145"/>
      <c r="F14" s="133" t="s">
        <v>77</v>
      </c>
      <c r="G14" s="145"/>
      <c r="I14" s="145"/>
      <c r="K14" s="145"/>
      <c r="L14" s="133"/>
      <c r="M14" s="145"/>
      <c r="N14" s="133"/>
    </row>
    <row r="15" spans="1:14" ht="16.25" customHeight="1" x14ac:dyDescent="0.2">
      <c r="A15" s="132" t="s">
        <v>855</v>
      </c>
      <c r="B15" s="134" t="s">
        <v>1046</v>
      </c>
      <c r="C15" s="138" t="s">
        <v>1010</v>
      </c>
      <c r="D15" s="134" t="s">
        <v>1047</v>
      </c>
      <c r="E15" s="144"/>
      <c r="F15" s="132" t="s">
        <v>1048</v>
      </c>
      <c r="G15" s="144"/>
      <c r="I15" s="144"/>
      <c r="K15" s="144"/>
      <c r="L15" s="132"/>
      <c r="M15" s="144"/>
      <c r="N15" s="132"/>
    </row>
    <row r="16" spans="1:14" ht="16.25" customHeight="1" x14ac:dyDescent="0.2">
      <c r="A16" s="132" t="s">
        <v>543</v>
      </c>
      <c r="B16" s="134" t="s">
        <v>1020</v>
      </c>
      <c r="C16" s="138" t="s">
        <v>60</v>
      </c>
      <c r="D16" s="134" t="s">
        <v>1049</v>
      </c>
      <c r="E16" s="144"/>
      <c r="F16" s="133" t="s">
        <v>76</v>
      </c>
      <c r="G16" s="144"/>
      <c r="I16" s="144"/>
      <c r="K16" s="144"/>
      <c r="M16" s="144"/>
    </row>
    <row r="17" spans="1:13" ht="16.25" customHeight="1" x14ac:dyDescent="0.2">
      <c r="A17" s="133" t="s">
        <v>535</v>
      </c>
      <c r="B17" s="135">
        <v>303730</v>
      </c>
      <c r="C17" s="139" t="s">
        <v>1050</v>
      </c>
      <c r="D17" s="135" t="s">
        <v>1051</v>
      </c>
      <c r="E17" s="145"/>
      <c r="F17" s="132" t="s">
        <v>97</v>
      </c>
      <c r="G17" s="145"/>
      <c r="I17" s="145"/>
      <c r="K17" s="145"/>
      <c r="M17" s="145"/>
    </row>
    <row r="18" spans="1:13" ht="16.25" customHeight="1" x14ac:dyDescent="0.2">
      <c r="A18" s="132" t="s">
        <v>1052</v>
      </c>
      <c r="B18" s="134" t="s">
        <v>1053</v>
      </c>
      <c r="C18" s="138" t="s">
        <v>1054</v>
      </c>
      <c r="D18" s="134" t="s">
        <v>1055</v>
      </c>
      <c r="E18" s="145"/>
      <c r="F18" s="133" t="s">
        <v>66</v>
      </c>
      <c r="G18" s="145"/>
      <c r="H18" s="155"/>
      <c r="I18" s="145"/>
      <c r="K18" s="145"/>
      <c r="M18" s="145"/>
    </row>
    <row r="19" spans="1:13" ht="16.25" customHeight="1" x14ac:dyDescent="0.2">
      <c r="A19" s="132" t="s">
        <v>704</v>
      </c>
      <c r="B19" s="134">
        <v>303750</v>
      </c>
      <c r="C19" s="138" t="s">
        <v>1056</v>
      </c>
      <c r="D19" s="137" t="s">
        <v>1057</v>
      </c>
      <c r="E19" s="144"/>
      <c r="F19" s="132" t="s">
        <v>1058</v>
      </c>
      <c r="G19" s="144"/>
      <c r="H19" s="155"/>
      <c r="I19" s="144"/>
      <c r="K19" s="144"/>
      <c r="M19" s="144"/>
    </row>
    <row r="20" spans="1:13" ht="16.25" customHeight="1" x14ac:dyDescent="0.2">
      <c r="A20" s="132" t="s">
        <v>679</v>
      </c>
      <c r="B20" s="134" t="s">
        <v>1059</v>
      </c>
      <c r="C20" s="138" t="s">
        <v>66</v>
      </c>
      <c r="D20" s="134" t="s">
        <v>1060</v>
      </c>
      <c r="E20" s="145"/>
      <c r="F20" s="133" t="s">
        <v>73</v>
      </c>
      <c r="G20" s="145"/>
      <c r="H20" s="155"/>
      <c r="I20" s="145"/>
      <c r="K20" s="145"/>
      <c r="M20" s="145"/>
    </row>
    <row r="21" spans="1:13" ht="16.25" customHeight="1" x14ac:dyDescent="0.2">
      <c r="A21" s="132" t="s">
        <v>1061</v>
      </c>
      <c r="B21" s="134" t="s">
        <v>1062</v>
      </c>
      <c r="C21" s="138" t="s">
        <v>1063</v>
      </c>
      <c r="D21" s="134" t="s">
        <v>1064</v>
      </c>
      <c r="E21" s="145"/>
      <c r="F21" s="132" t="s">
        <v>52</v>
      </c>
      <c r="G21" s="145"/>
      <c r="H21" s="155"/>
      <c r="I21" s="145"/>
      <c r="K21" s="145"/>
      <c r="M21" s="145"/>
    </row>
    <row r="22" spans="1:13" x14ac:dyDescent="0.2">
      <c r="A22" s="132" t="s">
        <v>621</v>
      </c>
      <c r="B22" s="134" t="s">
        <v>1065</v>
      </c>
      <c r="C22" s="138" t="s">
        <v>1066</v>
      </c>
      <c r="D22" s="134" t="s">
        <v>1067</v>
      </c>
      <c r="E22" s="145"/>
      <c r="F22" s="133" t="s">
        <v>51</v>
      </c>
      <c r="G22" s="145"/>
      <c r="H22" s="155"/>
      <c r="I22" s="145"/>
      <c r="K22" s="145"/>
      <c r="M22" s="145"/>
    </row>
    <row r="23" spans="1:13" x14ac:dyDescent="0.2">
      <c r="A23" s="133" t="s">
        <v>328</v>
      </c>
      <c r="B23" s="135">
        <v>303720</v>
      </c>
      <c r="C23" s="139" t="s">
        <v>1030</v>
      </c>
      <c r="D23" s="136" t="s">
        <v>1068</v>
      </c>
      <c r="E23" s="144"/>
      <c r="F23" s="132" t="s">
        <v>1069</v>
      </c>
      <c r="G23" s="144"/>
      <c r="H23" s="155"/>
      <c r="I23" s="144"/>
      <c r="K23" s="144"/>
      <c r="M23" s="144"/>
    </row>
    <row r="24" spans="1:13" x14ac:dyDescent="0.2">
      <c r="A24" s="133" t="s">
        <v>643</v>
      </c>
      <c r="B24" s="135" t="s">
        <v>1070</v>
      </c>
      <c r="C24" s="139" t="s">
        <v>65</v>
      </c>
      <c r="D24" s="135" t="s">
        <v>1071</v>
      </c>
      <c r="E24" s="145"/>
      <c r="F24" s="133" t="s">
        <v>63</v>
      </c>
      <c r="G24" s="145"/>
      <c r="H24" s="155"/>
      <c r="I24" s="145"/>
      <c r="K24" s="145"/>
      <c r="M24" s="145"/>
    </row>
    <row r="25" spans="1:13" x14ac:dyDescent="0.2">
      <c r="A25" s="133" t="s">
        <v>744</v>
      </c>
      <c r="B25" s="135">
        <v>303721</v>
      </c>
      <c r="C25" s="139" t="s">
        <v>68</v>
      </c>
      <c r="D25" s="136" t="s">
        <v>1072</v>
      </c>
      <c r="E25" s="145"/>
      <c r="F25" s="132" t="s">
        <v>64</v>
      </c>
      <c r="G25" s="145"/>
      <c r="H25" s="155"/>
      <c r="I25" s="145"/>
      <c r="K25" s="145"/>
      <c r="M25" s="145"/>
    </row>
    <row r="26" spans="1:13" x14ac:dyDescent="0.2">
      <c r="A26" s="132" t="s">
        <v>1073</v>
      </c>
      <c r="B26" s="134">
        <v>302303</v>
      </c>
      <c r="C26" s="138" t="s">
        <v>1074</v>
      </c>
      <c r="D26" s="137" t="s">
        <v>1075</v>
      </c>
      <c r="E26" s="144"/>
      <c r="F26" s="133" t="s">
        <v>1076</v>
      </c>
      <c r="G26" s="144"/>
      <c r="H26" s="155"/>
      <c r="I26" s="144"/>
      <c r="K26" s="144"/>
      <c r="M26" s="144"/>
    </row>
    <row r="27" spans="1:13" x14ac:dyDescent="0.2">
      <c r="A27" s="132" t="s">
        <v>706</v>
      </c>
      <c r="B27" s="134" t="s">
        <v>1077</v>
      </c>
      <c r="C27" s="138" t="s">
        <v>1056</v>
      </c>
      <c r="D27" s="134" t="s">
        <v>1078</v>
      </c>
      <c r="E27" s="145"/>
      <c r="F27" s="132" t="s">
        <v>99</v>
      </c>
      <c r="G27" s="145"/>
      <c r="I27" s="145"/>
      <c r="K27" s="145"/>
      <c r="M27" s="145"/>
    </row>
    <row r="28" spans="1:13" x14ac:dyDescent="0.2">
      <c r="A28" s="133" t="s">
        <v>804</v>
      </c>
      <c r="B28" s="135" t="s">
        <v>1079</v>
      </c>
      <c r="C28" s="139" t="s">
        <v>69</v>
      </c>
      <c r="D28" s="135" t="s">
        <v>1080</v>
      </c>
      <c r="E28" s="145"/>
      <c r="F28" s="133" t="s">
        <v>98</v>
      </c>
      <c r="G28" s="145"/>
      <c r="I28" s="145"/>
      <c r="K28" s="145"/>
      <c r="M28" s="145"/>
    </row>
    <row r="29" spans="1:13" x14ac:dyDescent="0.2">
      <c r="A29" s="133" t="s">
        <v>680</v>
      </c>
      <c r="B29" s="135" t="s">
        <v>1059</v>
      </c>
      <c r="C29" s="139" t="s">
        <v>66</v>
      </c>
      <c r="D29" s="135" t="s">
        <v>1081</v>
      </c>
      <c r="E29" s="144"/>
      <c r="F29" s="132" t="s">
        <v>58</v>
      </c>
      <c r="G29" s="144"/>
      <c r="I29" s="144"/>
      <c r="K29" s="144"/>
      <c r="M29" s="144"/>
    </row>
    <row r="30" spans="1:13" x14ac:dyDescent="0.2">
      <c r="A30" s="133" t="s">
        <v>885</v>
      </c>
      <c r="B30" s="135" t="s">
        <v>1014</v>
      </c>
      <c r="C30" s="139" t="s">
        <v>76</v>
      </c>
      <c r="D30" s="135" t="s">
        <v>1082</v>
      </c>
      <c r="E30" s="145"/>
      <c r="F30" s="133" t="s">
        <v>54</v>
      </c>
      <c r="G30" s="145"/>
      <c r="I30" s="145"/>
      <c r="K30" s="145"/>
      <c r="M30" s="145"/>
    </row>
    <row r="31" spans="1:13" x14ac:dyDescent="0.2">
      <c r="A31" s="133" t="s">
        <v>536</v>
      </c>
      <c r="B31" s="135" t="s">
        <v>1020</v>
      </c>
      <c r="C31" s="139" t="s">
        <v>60</v>
      </c>
      <c r="D31" s="135" t="s">
        <v>1083</v>
      </c>
      <c r="E31" s="145"/>
      <c r="F31" s="132" t="s">
        <v>1084</v>
      </c>
      <c r="G31" s="145"/>
      <c r="I31" s="145"/>
      <c r="K31" s="145"/>
      <c r="M31" s="145"/>
    </row>
    <row r="32" spans="1:13" x14ac:dyDescent="0.2">
      <c r="A32" s="132" t="s">
        <v>806</v>
      </c>
      <c r="B32" s="134" t="s">
        <v>1079</v>
      </c>
      <c r="C32" s="138" t="s">
        <v>69</v>
      </c>
      <c r="D32" s="134" t="s">
        <v>1085</v>
      </c>
      <c r="E32" s="146"/>
      <c r="F32" s="133" t="s">
        <v>74</v>
      </c>
      <c r="G32" s="146"/>
      <c r="I32" s="146"/>
      <c r="K32" s="146"/>
      <c r="M32" s="146"/>
    </row>
    <row r="33" spans="1:13" x14ac:dyDescent="0.2">
      <c r="A33" s="133" t="s">
        <v>461</v>
      </c>
      <c r="B33" s="135" t="s">
        <v>1086</v>
      </c>
      <c r="C33" s="139" t="s">
        <v>56</v>
      </c>
      <c r="D33" s="135" t="s">
        <v>1087</v>
      </c>
      <c r="E33" s="147"/>
      <c r="F33" s="132" t="s">
        <v>1088</v>
      </c>
      <c r="G33" s="147"/>
      <c r="I33" s="147"/>
      <c r="K33" s="147"/>
      <c r="M33" s="147"/>
    </row>
    <row r="34" spans="1:13" x14ac:dyDescent="0.2">
      <c r="A34" s="133" t="s">
        <v>439</v>
      </c>
      <c r="B34" s="135" t="s">
        <v>1024</v>
      </c>
      <c r="C34" s="139" t="s">
        <v>1025</v>
      </c>
      <c r="D34" s="135" t="s">
        <v>1089</v>
      </c>
      <c r="E34" s="147"/>
      <c r="F34" s="133" t="s">
        <v>1054</v>
      </c>
      <c r="G34" s="147"/>
      <c r="I34" s="147"/>
      <c r="K34" s="147"/>
      <c r="M34" s="147"/>
    </row>
    <row r="35" spans="1:13" x14ac:dyDescent="0.2">
      <c r="A35" s="132" t="s">
        <v>1090</v>
      </c>
      <c r="B35" s="134">
        <v>303721</v>
      </c>
      <c r="C35" s="138" t="s">
        <v>68</v>
      </c>
      <c r="D35" s="137" t="s">
        <v>1091</v>
      </c>
      <c r="E35" s="147"/>
      <c r="F35" s="132" t="s">
        <v>1063</v>
      </c>
      <c r="G35" s="147"/>
      <c r="I35" s="147"/>
      <c r="K35" s="147"/>
      <c r="M35" s="147"/>
    </row>
    <row r="36" spans="1:13" x14ac:dyDescent="0.2">
      <c r="A36" s="133" t="s">
        <v>1092</v>
      </c>
      <c r="B36" s="135">
        <v>302748</v>
      </c>
      <c r="C36" s="139" t="s">
        <v>1093</v>
      </c>
      <c r="D36" s="136" t="s">
        <v>1094</v>
      </c>
      <c r="E36" s="147"/>
      <c r="F36" s="133" t="s">
        <v>1095</v>
      </c>
      <c r="G36" s="147"/>
      <c r="I36" s="147"/>
      <c r="K36" s="147"/>
      <c r="M36" s="147"/>
    </row>
    <row r="37" spans="1:13" x14ac:dyDescent="0.2">
      <c r="A37" s="132" t="s">
        <v>946</v>
      </c>
      <c r="B37" s="134" t="s">
        <v>1096</v>
      </c>
      <c r="C37" s="138" t="s">
        <v>77</v>
      </c>
      <c r="D37" s="134" t="s">
        <v>1097</v>
      </c>
      <c r="E37" s="147"/>
      <c r="F37" s="132" t="s">
        <v>1098</v>
      </c>
      <c r="G37" s="147"/>
      <c r="I37" s="147"/>
      <c r="K37" s="147"/>
      <c r="M37" s="147"/>
    </row>
    <row r="38" spans="1:13" x14ac:dyDescent="0.2">
      <c r="A38" s="133" t="s">
        <v>1099</v>
      </c>
      <c r="B38" s="135" t="s">
        <v>1053</v>
      </c>
      <c r="C38" s="139" t="s">
        <v>1054</v>
      </c>
      <c r="D38" s="135" t="s">
        <v>1100</v>
      </c>
      <c r="E38" s="147"/>
      <c r="F38" s="133" t="s">
        <v>1101</v>
      </c>
      <c r="G38" s="147"/>
      <c r="I38" s="147"/>
      <c r="K38" s="147"/>
      <c r="M38" s="147"/>
    </row>
    <row r="39" spans="1:13" x14ac:dyDescent="0.2">
      <c r="A39" s="133" t="s">
        <v>462</v>
      </c>
      <c r="B39" s="135" t="s">
        <v>1086</v>
      </c>
      <c r="C39" s="139" t="s">
        <v>56</v>
      </c>
      <c r="D39" s="135" t="s">
        <v>1102</v>
      </c>
      <c r="E39" s="147"/>
      <c r="F39" s="132" t="s">
        <v>1103</v>
      </c>
      <c r="G39" s="147"/>
      <c r="I39" s="147"/>
      <c r="K39" s="147"/>
      <c r="M39" s="147"/>
    </row>
    <row r="40" spans="1:13" x14ac:dyDescent="0.2">
      <c r="A40" s="133" t="s">
        <v>623</v>
      </c>
      <c r="B40" s="135" t="s">
        <v>1065</v>
      </c>
      <c r="C40" s="139" t="s">
        <v>1066</v>
      </c>
      <c r="D40" s="135" t="s">
        <v>1104</v>
      </c>
      <c r="E40" s="147"/>
      <c r="F40" s="133" t="s">
        <v>1105</v>
      </c>
      <c r="G40" s="147"/>
      <c r="I40" s="147"/>
      <c r="K40" s="147"/>
      <c r="M40" s="147"/>
    </row>
    <row r="41" spans="1:13" x14ac:dyDescent="0.2">
      <c r="A41" s="133" t="s">
        <v>465</v>
      </c>
      <c r="B41" s="135" t="s">
        <v>1086</v>
      </c>
      <c r="C41" s="139" t="s">
        <v>56</v>
      </c>
      <c r="D41" s="135" t="s">
        <v>1106</v>
      </c>
      <c r="E41" s="147"/>
      <c r="F41" s="132" t="s">
        <v>1107</v>
      </c>
      <c r="G41" s="147"/>
      <c r="I41" s="147"/>
      <c r="K41" s="147"/>
      <c r="M41" s="147"/>
    </row>
    <row r="42" spans="1:13" x14ac:dyDescent="0.2">
      <c r="A42" s="133" t="s">
        <v>1108</v>
      </c>
      <c r="B42" s="135" t="s">
        <v>1053</v>
      </c>
      <c r="C42" s="139" t="s">
        <v>1054</v>
      </c>
      <c r="D42" s="135" t="s">
        <v>1109</v>
      </c>
      <c r="E42" s="147"/>
      <c r="F42" s="133" t="s">
        <v>1110</v>
      </c>
      <c r="G42" s="147"/>
      <c r="I42" s="147"/>
      <c r="K42" s="147"/>
      <c r="M42" s="147"/>
    </row>
    <row r="43" spans="1:13" x14ac:dyDescent="0.2">
      <c r="A43" s="133" t="s">
        <v>645</v>
      </c>
      <c r="B43" s="135">
        <v>303722</v>
      </c>
      <c r="C43" s="139" t="s">
        <v>65</v>
      </c>
      <c r="D43" s="136" t="s">
        <v>1111</v>
      </c>
      <c r="E43" s="147"/>
      <c r="F43" s="132" t="s">
        <v>1112</v>
      </c>
      <c r="G43" s="147"/>
      <c r="I43" s="147"/>
      <c r="K43" s="147"/>
      <c r="M43" s="147"/>
    </row>
    <row r="44" spans="1:13" x14ac:dyDescent="0.2">
      <c r="A44" s="132" t="s">
        <v>947</v>
      </c>
      <c r="B44" s="134">
        <v>303733</v>
      </c>
      <c r="C44" s="138" t="s">
        <v>77</v>
      </c>
      <c r="D44" s="137" t="s">
        <v>1113</v>
      </c>
      <c r="E44" s="147"/>
      <c r="F44" s="133" t="s">
        <v>1114</v>
      </c>
      <c r="G44" s="147"/>
      <c r="I44" s="147"/>
      <c r="K44" s="147"/>
      <c r="M44" s="147"/>
    </row>
    <row r="45" spans="1:13" x14ac:dyDescent="0.2">
      <c r="A45" s="133" t="s">
        <v>748</v>
      </c>
      <c r="B45" s="135">
        <v>303721</v>
      </c>
      <c r="C45" s="139" t="s">
        <v>68</v>
      </c>
      <c r="D45" s="136" t="s">
        <v>1115</v>
      </c>
      <c r="E45" s="147"/>
      <c r="F45" s="132" t="s">
        <v>1116</v>
      </c>
      <c r="G45" s="147"/>
      <c r="I45" s="147"/>
      <c r="K45" s="147"/>
      <c r="M45" s="147"/>
    </row>
    <row r="46" spans="1:13" x14ac:dyDescent="0.2">
      <c r="A46" s="132" t="s">
        <v>1117</v>
      </c>
      <c r="B46" s="134" t="s">
        <v>1053</v>
      </c>
      <c r="C46" s="138" t="s">
        <v>1054</v>
      </c>
      <c r="D46" s="134" t="s">
        <v>1118</v>
      </c>
      <c r="E46" s="147"/>
      <c r="F46" s="133" t="s">
        <v>1119</v>
      </c>
      <c r="G46" s="147"/>
      <c r="I46" s="147"/>
      <c r="K46" s="147"/>
      <c r="M46" s="147"/>
    </row>
    <row r="47" spans="1:13" x14ac:dyDescent="0.2">
      <c r="A47" s="133" t="s">
        <v>1120</v>
      </c>
      <c r="B47" s="135" t="s">
        <v>1121</v>
      </c>
      <c r="C47" s="139" t="s">
        <v>1074</v>
      </c>
      <c r="D47" s="135" t="s">
        <v>1122</v>
      </c>
      <c r="E47" s="147"/>
      <c r="F47" s="132" t="s">
        <v>1123</v>
      </c>
      <c r="G47" s="147"/>
      <c r="I47" s="147"/>
      <c r="K47" s="147"/>
      <c r="M47" s="147"/>
    </row>
    <row r="48" spans="1:13" x14ac:dyDescent="0.2">
      <c r="A48" s="132" t="s">
        <v>1124</v>
      </c>
      <c r="B48" s="134" t="s">
        <v>1125</v>
      </c>
      <c r="C48" s="138" t="s">
        <v>1110</v>
      </c>
      <c r="D48" s="134" t="s">
        <v>1126</v>
      </c>
      <c r="E48" s="147"/>
      <c r="F48" s="133" t="s">
        <v>1127</v>
      </c>
      <c r="G48" s="147"/>
      <c r="I48" s="147"/>
      <c r="K48" s="147"/>
      <c r="M48" s="147"/>
    </row>
    <row r="49" spans="1:13" x14ac:dyDescent="0.2">
      <c r="A49" s="133" t="s">
        <v>384</v>
      </c>
      <c r="B49" s="135" t="s">
        <v>1059</v>
      </c>
      <c r="C49" s="139" t="s">
        <v>66</v>
      </c>
      <c r="D49" s="136" t="s">
        <v>1128</v>
      </c>
      <c r="E49" s="147"/>
      <c r="F49" s="132" t="s">
        <v>1129</v>
      </c>
      <c r="G49" s="147"/>
      <c r="I49" s="147"/>
      <c r="K49" s="147"/>
      <c r="M49" s="147"/>
    </row>
    <row r="50" spans="1:13" x14ac:dyDescent="0.2">
      <c r="A50" s="132" t="s">
        <v>260</v>
      </c>
      <c r="B50" s="134" t="s">
        <v>1042</v>
      </c>
      <c r="C50" s="138" t="s">
        <v>52</v>
      </c>
      <c r="D50" s="134" t="s">
        <v>1130</v>
      </c>
      <c r="E50" s="147"/>
      <c r="G50" s="147"/>
      <c r="I50" s="147"/>
      <c r="K50" s="147"/>
      <c r="M50" s="147"/>
    </row>
    <row r="51" spans="1:13" x14ac:dyDescent="0.2">
      <c r="A51" s="132" t="s">
        <v>1131</v>
      </c>
      <c r="B51" s="134" t="s">
        <v>1053</v>
      </c>
      <c r="C51" s="138" t="s">
        <v>1054</v>
      </c>
      <c r="D51" s="134" t="s">
        <v>1132</v>
      </c>
      <c r="E51" s="147"/>
      <c r="G51" s="147"/>
      <c r="I51" s="147"/>
      <c r="K51" s="147"/>
      <c r="M51" s="147"/>
    </row>
    <row r="52" spans="1:13" x14ac:dyDescent="0.2">
      <c r="A52" s="132" t="s">
        <v>1133</v>
      </c>
      <c r="B52" s="134" t="s">
        <v>1004</v>
      </c>
      <c r="C52" s="138" t="s">
        <v>57</v>
      </c>
      <c r="D52" s="137"/>
      <c r="E52" s="147"/>
      <c r="G52" s="147"/>
      <c r="I52" s="147"/>
      <c r="K52" s="147"/>
      <c r="M52" s="147"/>
    </row>
    <row r="53" spans="1:13" x14ac:dyDescent="0.2">
      <c r="A53" s="133" t="s">
        <v>750</v>
      </c>
      <c r="B53" s="135" t="s">
        <v>1134</v>
      </c>
      <c r="C53" s="139" t="s">
        <v>68</v>
      </c>
      <c r="D53" s="135" t="s">
        <v>1135</v>
      </c>
      <c r="E53" s="147"/>
      <c r="G53" s="147"/>
      <c r="I53" s="147"/>
      <c r="K53" s="147"/>
      <c r="M53" s="147"/>
    </row>
    <row r="54" spans="1:13" x14ac:dyDescent="0.2">
      <c r="A54" s="132" t="s">
        <v>647</v>
      </c>
      <c r="B54" s="134" t="s">
        <v>1070</v>
      </c>
      <c r="C54" s="138" t="s">
        <v>65</v>
      </c>
      <c r="D54" s="134" t="s">
        <v>1136</v>
      </c>
      <c r="E54" s="147"/>
      <c r="G54" s="147"/>
      <c r="I54" s="147"/>
      <c r="K54" s="147"/>
      <c r="M54" s="147"/>
    </row>
    <row r="55" spans="1:13" x14ac:dyDescent="0.2">
      <c r="A55" s="132" t="s">
        <v>887</v>
      </c>
      <c r="B55" s="134" t="s">
        <v>1014</v>
      </c>
      <c r="C55" s="138" t="s">
        <v>76</v>
      </c>
      <c r="D55" s="134" t="s">
        <v>1137</v>
      </c>
      <c r="E55" s="147"/>
      <c r="G55" s="147"/>
      <c r="I55" s="147"/>
      <c r="K55" s="147"/>
      <c r="M55" s="147"/>
    </row>
    <row r="56" spans="1:13" x14ac:dyDescent="0.2">
      <c r="A56" s="133" t="s">
        <v>1138</v>
      </c>
      <c r="B56" s="135" t="s">
        <v>1121</v>
      </c>
      <c r="C56" s="139" t="s">
        <v>1074</v>
      </c>
      <c r="D56" s="135" t="s">
        <v>1139</v>
      </c>
      <c r="E56" s="147"/>
      <c r="G56" s="147"/>
      <c r="I56" s="147"/>
      <c r="K56" s="147"/>
      <c r="M56" s="147"/>
    </row>
    <row r="57" spans="1:13" x14ac:dyDescent="0.2">
      <c r="A57" s="133" t="s">
        <v>200</v>
      </c>
      <c r="B57" s="135" t="s">
        <v>1140</v>
      </c>
      <c r="C57" s="139" t="s">
        <v>51</v>
      </c>
      <c r="D57" s="135" t="s">
        <v>1141</v>
      </c>
      <c r="E57" s="147"/>
      <c r="G57" s="147"/>
      <c r="I57" s="147"/>
      <c r="K57" s="147"/>
      <c r="M57" s="147"/>
    </row>
    <row r="58" spans="1:13" x14ac:dyDescent="0.2">
      <c r="A58" s="132" t="s">
        <v>1142</v>
      </c>
      <c r="B58" s="134" t="s">
        <v>1062</v>
      </c>
      <c r="C58" s="138" t="s">
        <v>1063</v>
      </c>
      <c r="D58" s="134" t="s">
        <v>1143</v>
      </c>
      <c r="E58" s="147"/>
      <c r="G58" s="147"/>
      <c r="I58" s="147"/>
      <c r="K58" s="147"/>
      <c r="M58" s="147"/>
    </row>
    <row r="59" spans="1:13" x14ac:dyDescent="0.2">
      <c r="A59" s="133" t="s">
        <v>262</v>
      </c>
      <c r="B59" s="135" t="s">
        <v>1042</v>
      </c>
      <c r="C59" s="139" t="s">
        <v>52</v>
      </c>
      <c r="D59" s="135" t="s">
        <v>1144</v>
      </c>
      <c r="E59" s="147"/>
      <c r="G59" s="147"/>
      <c r="I59" s="147"/>
      <c r="K59" s="147"/>
      <c r="M59" s="147"/>
    </row>
    <row r="60" spans="1:13" x14ac:dyDescent="0.2">
      <c r="A60" s="132" t="s">
        <v>330</v>
      </c>
      <c r="B60" s="134" t="s">
        <v>1029</v>
      </c>
      <c r="C60" s="138" t="s">
        <v>1030</v>
      </c>
      <c r="D60" s="134" t="s">
        <v>1145</v>
      </c>
      <c r="E60" s="147"/>
      <c r="G60" s="147"/>
      <c r="I60" s="147"/>
      <c r="K60" s="147"/>
      <c r="M60" s="147"/>
    </row>
    <row r="61" spans="1:13" x14ac:dyDescent="0.2">
      <c r="A61" s="132" t="s">
        <v>1146</v>
      </c>
      <c r="B61" s="134" t="s">
        <v>1121</v>
      </c>
      <c r="C61" s="138" t="s">
        <v>1074</v>
      </c>
      <c r="D61" s="134" t="s">
        <v>1147</v>
      </c>
      <c r="E61" s="147"/>
      <c r="G61" s="147"/>
      <c r="I61" s="147"/>
      <c r="K61" s="147"/>
      <c r="M61" s="147"/>
    </row>
    <row r="62" spans="1:13" x14ac:dyDescent="0.2">
      <c r="A62" s="133" t="s">
        <v>332</v>
      </c>
      <c r="B62" s="135" t="s">
        <v>1029</v>
      </c>
      <c r="C62" s="139" t="s">
        <v>1030</v>
      </c>
      <c r="D62" s="135" t="s">
        <v>1148</v>
      </c>
      <c r="E62" s="147"/>
      <c r="G62" s="147"/>
      <c r="I62" s="147"/>
      <c r="K62" s="147"/>
      <c r="M62" s="147"/>
    </row>
    <row r="63" spans="1:13" x14ac:dyDescent="0.2">
      <c r="A63" s="132" t="s">
        <v>649</v>
      </c>
      <c r="B63" s="134" t="s">
        <v>1070</v>
      </c>
      <c r="C63" s="138" t="s">
        <v>65</v>
      </c>
      <c r="D63" s="134" t="s">
        <v>1149</v>
      </c>
      <c r="E63" s="147"/>
      <c r="G63" s="147"/>
      <c r="I63" s="147"/>
      <c r="K63" s="147"/>
      <c r="M63" s="147"/>
    </row>
    <row r="64" spans="1:13" x14ac:dyDescent="0.2">
      <c r="A64" s="132" t="s">
        <v>948</v>
      </c>
      <c r="B64" s="134">
        <v>303733</v>
      </c>
      <c r="C64" s="138" t="s">
        <v>77</v>
      </c>
      <c r="D64" s="137" t="s">
        <v>1150</v>
      </c>
      <c r="E64" s="147"/>
      <c r="G64" s="147"/>
      <c r="I64" s="147"/>
      <c r="K64" s="147"/>
      <c r="M64" s="147"/>
    </row>
    <row r="65" spans="1:13" x14ac:dyDescent="0.2">
      <c r="A65" s="132" t="s">
        <v>1151</v>
      </c>
      <c r="B65" s="134" t="s">
        <v>1121</v>
      </c>
      <c r="C65" s="138" t="s">
        <v>1074</v>
      </c>
      <c r="D65" s="134" t="s">
        <v>1152</v>
      </c>
      <c r="E65" s="147"/>
      <c r="G65" s="147"/>
      <c r="I65" s="147"/>
      <c r="K65" s="147"/>
      <c r="M65" s="147"/>
    </row>
    <row r="66" spans="1:13" x14ac:dyDescent="0.2">
      <c r="A66" s="133" t="s">
        <v>1153</v>
      </c>
      <c r="B66" s="135" t="s">
        <v>1121</v>
      </c>
      <c r="C66" s="139" t="s">
        <v>1074</v>
      </c>
      <c r="D66" s="135" t="s">
        <v>1154</v>
      </c>
      <c r="E66" s="147"/>
      <c r="G66" s="147"/>
      <c r="I66" s="147"/>
      <c r="K66" s="147"/>
      <c r="M66" s="147"/>
    </row>
    <row r="67" spans="1:13" x14ac:dyDescent="0.2">
      <c r="A67" s="132" t="s">
        <v>1155</v>
      </c>
      <c r="B67" s="134" t="s">
        <v>1086</v>
      </c>
      <c r="C67" s="138" t="s">
        <v>56</v>
      </c>
      <c r="D67" s="134" t="s">
        <v>1156</v>
      </c>
      <c r="E67" s="147"/>
      <c r="G67" s="147"/>
      <c r="I67" s="147"/>
      <c r="K67" s="147"/>
      <c r="M67" s="147"/>
    </row>
    <row r="68" spans="1:13" x14ac:dyDescent="0.2">
      <c r="A68" s="132" t="s">
        <v>707</v>
      </c>
      <c r="B68" s="134" t="s">
        <v>1077</v>
      </c>
      <c r="C68" s="138" t="s">
        <v>1056</v>
      </c>
      <c r="D68" s="134" t="s">
        <v>1157</v>
      </c>
      <c r="E68" s="147"/>
      <c r="G68" s="147"/>
      <c r="I68" s="147"/>
      <c r="K68" s="147"/>
      <c r="M68" s="147"/>
    </row>
    <row r="69" spans="1:13" x14ac:dyDescent="0.2">
      <c r="A69" s="133" t="s">
        <v>709</v>
      </c>
      <c r="B69" s="135" t="s">
        <v>1077</v>
      </c>
      <c r="C69" s="139" t="s">
        <v>1056</v>
      </c>
      <c r="D69" s="135" t="s">
        <v>1158</v>
      </c>
      <c r="E69" s="147"/>
      <c r="G69" s="147"/>
      <c r="I69" s="147"/>
      <c r="K69" s="147"/>
      <c r="M69" s="147"/>
    </row>
    <row r="70" spans="1:13" x14ac:dyDescent="0.2">
      <c r="A70" s="133" t="s">
        <v>1159</v>
      </c>
      <c r="B70" s="135" t="s">
        <v>1036</v>
      </c>
      <c r="C70" s="139" t="s">
        <v>1037</v>
      </c>
      <c r="D70" s="135" t="s">
        <v>1160</v>
      </c>
      <c r="E70" s="147"/>
      <c r="G70" s="147"/>
      <c r="I70" s="147"/>
      <c r="K70" s="147"/>
      <c r="M70" s="147"/>
    </row>
    <row r="71" spans="1:13" x14ac:dyDescent="0.2">
      <c r="A71" s="132" t="s">
        <v>492</v>
      </c>
      <c r="B71" s="134" t="s">
        <v>1004</v>
      </c>
      <c r="C71" s="138" t="s">
        <v>57</v>
      </c>
      <c r="D71" s="134" t="s">
        <v>1161</v>
      </c>
      <c r="E71" s="147"/>
      <c r="G71" s="147"/>
      <c r="I71" s="147"/>
      <c r="K71" s="147"/>
      <c r="M71" s="147"/>
    </row>
    <row r="72" spans="1:13" x14ac:dyDescent="0.2">
      <c r="A72" s="133" t="s">
        <v>333</v>
      </c>
      <c r="B72" s="135" t="s">
        <v>1029</v>
      </c>
      <c r="C72" s="139" t="s">
        <v>1030</v>
      </c>
      <c r="D72" s="135" t="s">
        <v>1162</v>
      </c>
      <c r="E72" s="147"/>
      <c r="G72" s="147"/>
      <c r="I72" s="147"/>
      <c r="K72" s="147"/>
      <c r="M72" s="147"/>
    </row>
    <row r="73" spans="1:13" x14ac:dyDescent="0.2">
      <c r="A73" s="132" t="s">
        <v>711</v>
      </c>
      <c r="B73" s="134" t="s">
        <v>1077</v>
      </c>
      <c r="C73" s="138" t="s">
        <v>1056</v>
      </c>
      <c r="D73" s="134" t="s">
        <v>1163</v>
      </c>
      <c r="E73" s="146"/>
      <c r="G73" s="146"/>
      <c r="I73" s="146"/>
      <c r="K73" s="146"/>
      <c r="M73" s="146"/>
    </row>
    <row r="74" spans="1:13" x14ac:dyDescent="0.2">
      <c r="A74" s="133" t="s">
        <v>693</v>
      </c>
      <c r="B74" s="135">
        <v>303740</v>
      </c>
      <c r="C74" s="139" t="s">
        <v>66</v>
      </c>
      <c r="D74" s="135" t="s">
        <v>1164</v>
      </c>
      <c r="E74" s="146"/>
      <c r="G74" s="146"/>
      <c r="I74" s="146"/>
      <c r="K74" s="146"/>
      <c r="M74" s="146"/>
    </row>
    <row r="75" spans="1:13" x14ac:dyDescent="0.2">
      <c r="A75" s="133" t="s">
        <v>858</v>
      </c>
      <c r="B75" s="135" t="s">
        <v>1046</v>
      </c>
      <c r="C75" s="139" t="s">
        <v>1010</v>
      </c>
      <c r="D75" s="135" t="s">
        <v>1165</v>
      </c>
      <c r="E75" s="147"/>
      <c r="G75" s="147"/>
      <c r="I75" s="147"/>
      <c r="K75" s="147"/>
      <c r="M75" s="147"/>
    </row>
    <row r="76" spans="1:13" x14ac:dyDescent="0.2">
      <c r="A76" s="133" t="s">
        <v>264</v>
      </c>
      <c r="B76" s="135" t="s">
        <v>1042</v>
      </c>
      <c r="C76" s="139" t="s">
        <v>52</v>
      </c>
      <c r="D76" s="135" t="s">
        <v>1166</v>
      </c>
      <c r="E76" s="147"/>
      <c r="G76" s="147"/>
      <c r="I76" s="147"/>
      <c r="K76" s="147"/>
      <c r="M76" s="147"/>
    </row>
    <row r="77" spans="1:13" x14ac:dyDescent="0.2">
      <c r="A77" s="133" t="s">
        <v>712</v>
      </c>
      <c r="B77" s="135" t="s">
        <v>1077</v>
      </c>
      <c r="C77" s="139" t="s">
        <v>1056</v>
      </c>
      <c r="D77" s="135" t="s">
        <v>1167</v>
      </c>
      <c r="E77" s="147"/>
      <c r="G77" s="147"/>
      <c r="I77" s="147"/>
      <c r="K77" s="147"/>
      <c r="M77" s="147"/>
    </row>
    <row r="78" spans="1:13" x14ac:dyDescent="0.2">
      <c r="A78" s="133" t="s">
        <v>390</v>
      </c>
      <c r="B78" s="135" t="s">
        <v>1044</v>
      </c>
      <c r="C78" s="139" t="s">
        <v>54</v>
      </c>
      <c r="D78" s="135" t="s">
        <v>1168</v>
      </c>
      <c r="E78" s="147"/>
      <c r="G78" s="147"/>
      <c r="I78" s="147"/>
      <c r="K78" s="147"/>
      <c r="M78" s="147"/>
    </row>
    <row r="79" spans="1:13" x14ac:dyDescent="0.2">
      <c r="A79" s="132" t="s">
        <v>624</v>
      </c>
      <c r="B79" s="134" t="s">
        <v>1065</v>
      </c>
      <c r="C79" s="138" t="s">
        <v>1066</v>
      </c>
      <c r="D79" s="134" t="s">
        <v>1169</v>
      </c>
      <c r="E79" s="147"/>
      <c r="G79" s="147"/>
      <c r="I79" s="147"/>
      <c r="K79" s="147"/>
      <c r="M79" s="147"/>
    </row>
    <row r="80" spans="1:13" x14ac:dyDescent="0.2">
      <c r="A80" s="133" t="s">
        <v>889</v>
      </c>
      <c r="B80" s="135">
        <v>303735</v>
      </c>
      <c r="C80" s="139" t="s">
        <v>76</v>
      </c>
      <c r="D80" s="136" t="s">
        <v>1170</v>
      </c>
      <c r="E80" s="147"/>
      <c r="G80" s="147"/>
      <c r="I80" s="147"/>
      <c r="K80" s="147"/>
      <c r="M80" s="147"/>
    </row>
    <row r="81" spans="1:13" x14ac:dyDescent="0.2">
      <c r="A81" s="133" t="s">
        <v>1171</v>
      </c>
      <c r="B81" s="135" t="s">
        <v>1172</v>
      </c>
      <c r="C81" s="139" t="s">
        <v>1093</v>
      </c>
      <c r="D81" s="135" t="s">
        <v>1173</v>
      </c>
      <c r="E81" s="147"/>
      <c r="G81" s="147"/>
      <c r="I81" s="147"/>
      <c r="K81" s="147"/>
      <c r="M81" s="147"/>
    </row>
    <row r="82" spans="1:13" x14ac:dyDescent="0.2">
      <c r="A82" s="132" t="s">
        <v>859</v>
      </c>
      <c r="B82" s="134" t="s">
        <v>1046</v>
      </c>
      <c r="C82" s="138" t="s">
        <v>1010</v>
      </c>
      <c r="D82" s="134" t="s">
        <v>1174</v>
      </c>
      <c r="E82" s="147"/>
      <c r="G82" s="147"/>
      <c r="I82" s="147"/>
      <c r="K82" s="147"/>
      <c r="M82" s="147"/>
    </row>
    <row r="83" spans="1:13" x14ac:dyDescent="0.2">
      <c r="A83" s="133" t="s">
        <v>714</v>
      </c>
      <c r="B83" s="135" t="s">
        <v>1077</v>
      </c>
      <c r="C83" s="139" t="s">
        <v>1056</v>
      </c>
      <c r="D83" s="135" t="s">
        <v>1175</v>
      </c>
      <c r="E83" s="147"/>
      <c r="G83" s="147"/>
      <c r="I83" s="147"/>
      <c r="K83" s="147"/>
      <c r="M83" s="147"/>
    </row>
    <row r="84" spans="1:13" x14ac:dyDescent="0.2">
      <c r="A84" s="132" t="s">
        <v>537</v>
      </c>
      <c r="B84" s="134" t="s">
        <v>1020</v>
      </c>
      <c r="C84" s="138" t="s">
        <v>60</v>
      </c>
      <c r="D84" s="134" t="s">
        <v>1176</v>
      </c>
      <c r="E84" s="147"/>
      <c r="G84" s="147"/>
      <c r="I84" s="147"/>
      <c r="K84" s="147"/>
      <c r="M84" s="147"/>
    </row>
    <row r="85" spans="1:13" x14ac:dyDescent="0.2">
      <c r="A85" s="132" t="s">
        <v>539</v>
      </c>
      <c r="B85" s="134" t="s">
        <v>1020</v>
      </c>
      <c r="C85" s="138" t="s">
        <v>60</v>
      </c>
      <c r="D85" s="134" t="s">
        <v>1177</v>
      </c>
      <c r="E85" s="147"/>
      <c r="G85" s="147"/>
      <c r="I85" s="147"/>
      <c r="K85" s="147"/>
      <c r="M85" s="147"/>
    </row>
    <row r="86" spans="1:13" x14ac:dyDescent="0.2">
      <c r="A86" s="133" t="s">
        <v>1178</v>
      </c>
      <c r="B86" s="135" t="s">
        <v>1134</v>
      </c>
      <c r="C86" s="139" t="s">
        <v>68</v>
      </c>
      <c r="D86" s="135"/>
      <c r="E86" s="147"/>
      <c r="G86" s="147"/>
      <c r="I86" s="147"/>
      <c r="K86" s="147"/>
      <c r="M86" s="147"/>
    </row>
    <row r="87" spans="1:13" x14ac:dyDescent="0.2">
      <c r="A87" s="133" t="s">
        <v>381</v>
      </c>
      <c r="B87" s="135">
        <v>303731</v>
      </c>
      <c r="C87" s="139" t="s">
        <v>69</v>
      </c>
      <c r="D87" s="136" t="s">
        <v>1179</v>
      </c>
      <c r="E87" s="147"/>
      <c r="G87" s="147"/>
      <c r="I87" s="147"/>
      <c r="K87" s="147"/>
      <c r="M87" s="147"/>
    </row>
    <row r="88" spans="1:13" x14ac:dyDescent="0.2">
      <c r="A88" s="133" t="s">
        <v>335</v>
      </c>
      <c r="B88" s="135" t="s">
        <v>1029</v>
      </c>
      <c r="C88" s="139" t="s">
        <v>1030</v>
      </c>
      <c r="D88" s="135" t="s">
        <v>1180</v>
      </c>
      <c r="E88" s="147"/>
      <c r="G88" s="147"/>
      <c r="I88" s="147"/>
      <c r="K88" s="147"/>
      <c r="M88" s="147"/>
    </row>
    <row r="89" spans="1:13" x14ac:dyDescent="0.2">
      <c r="A89" s="133" t="s">
        <v>1181</v>
      </c>
      <c r="B89" s="135">
        <v>303785</v>
      </c>
      <c r="C89" s="139" t="s">
        <v>74</v>
      </c>
      <c r="D89" s="136" t="s">
        <v>1182</v>
      </c>
      <c r="E89" s="147"/>
      <c r="G89" s="147"/>
      <c r="I89" s="147"/>
      <c r="K89" s="147"/>
      <c r="M89" s="147"/>
    </row>
    <row r="90" spans="1:13" x14ac:dyDescent="0.2">
      <c r="A90" s="132" t="s">
        <v>1183</v>
      </c>
      <c r="B90" s="134" t="s">
        <v>1121</v>
      </c>
      <c r="C90" s="138" t="s">
        <v>1074</v>
      </c>
      <c r="D90" s="134" t="s">
        <v>1184</v>
      </c>
      <c r="E90" s="147"/>
      <c r="G90" s="147"/>
      <c r="I90" s="147"/>
      <c r="K90" s="147"/>
      <c r="M90" s="147"/>
    </row>
    <row r="91" spans="1:13" x14ac:dyDescent="0.2">
      <c r="A91" s="132" t="s">
        <v>1185</v>
      </c>
      <c r="B91" s="134" t="s">
        <v>1121</v>
      </c>
      <c r="C91" s="138" t="s">
        <v>1074</v>
      </c>
      <c r="D91" s="134" t="s">
        <v>1186</v>
      </c>
      <c r="E91" s="147"/>
      <c r="G91" s="147"/>
      <c r="I91" s="147"/>
      <c r="K91" s="147"/>
      <c r="M91" s="147"/>
    </row>
    <row r="92" spans="1:13" x14ac:dyDescent="0.2">
      <c r="A92" s="133" t="s">
        <v>891</v>
      </c>
      <c r="B92" s="135" t="s">
        <v>1014</v>
      </c>
      <c r="C92" s="139" t="s">
        <v>76</v>
      </c>
      <c r="D92" s="135" t="s">
        <v>1187</v>
      </c>
      <c r="E92" s="147"/>
      <c r="G92" s="147"/>
      <c r="I92" s="147"/>
      <c r="K92" s="147"/>
      <c r="M92" s="147"/>
    </row>
    <row r="93" spans="1:13" x14ac:dyDescent="0.2">
      <c r="A93" s="133" t="s">
        <v>494</v>
      </c>
      <c r="B93" s="135" t="s">
        <v>1004</v>
      </c>
      <c r="C93" s="139" t="s">
        <v>57</v>
      </c>
      <c r="D93" s="135" t="s">
        <v>1188</v>
      </c>
      <c r="E93" s="147"/>
      <c r="G93" s="147"/>
      <c r="I93" s="147"/>
      <c r="K93" s="147"/>
      <c r="M93" s="147"/>
    </row>
    <row r="94" spans="1:13" x14ac:dyDescent="0.2">
      <c r="A94" s="132" t="s">
        <v>862</v>
      </c>
      <c r="B94" s="134" t="s">
        <v>1172</v>
      </c>
      <c r="C94" s="138" t="s">
        <v>1093</v>
      </c>
      <c r="D94" s="134" t="s">
        <v>1189</v>
      </c>
      <c r="E94" s="147"/>
      <c r="G94" s="147"/>
      <c r="I94" s="147"/>
      <c r="K94" s="147"/>
      <c r="M94" s="147"/>
    </row>
    <row r="95" spans="1:13" x14ac:dyDescent="0.2">
      <c r="A95" s="133" t="s">
        <v>862</v>
      </c>
      <c r="B95" s="135">
        <v>303769</v>
      </c>
      <c r="C95" s="139" t="s">
        <v>1010</v>
      </c>
      <c r="D95" s="135" t="s">
        <v>1189</v>
      </c>
      <c r="E95" s="147"/>
      <c r="G95" s="147"/>
      <c r="I95" s="147"/>
      <c r="K95" s="147"/>
      <c r="M95" s="147"/>
    </row>
    <row r="96" spans="1:13" x14ac:dyDescent="0.2">
      <c r="A96" s="132" t="s">
        <v>682</v>
      </c>
      <c r="B96" s="134" t="s">
        <v>1059</v>
      </c>
      <c r="C96" s="138" t="s">
        <v>66</v>
      </c>
      <c r="D96" s="134" t="s">
        <v>1190</v>
      </c>
      <c r="E96" s="147"/>
      <c r="G96" s="147"/>
      <c r="I96" s="147"/>
      <c r="K96" s="147"/>
      <c r="M96" s="147"/>
    </row>
    <row r="97" spans="1:13" x14ac:dyDescent="0.2">
      <c r="A97" s="132" t="s">
        <v>466</v>
      </c>
      <c r="B97" s="134" t="s">
        <v>1086</v>
      </c>
      <c r="C97" s="138" t="s">
        <v>56</v>
      </c>
      <c r="D97" s="134" t="s">
        <v>1191</v>
      </c>
      <c r="E97" s="147"/>
      <c r="G97" s="147"/>
      <c r="I97" s="147"/>
      <c r="K97" s="147"/>
      <c r="M97" s="147"/>
    </row>
    <row r="98" spans="1:13" x14ac:dyDescent="0.2">
      <c r="A98" s="133" t="s">
        <v>625</v>
      </c>
      <c r="B98" s="135" t="s">
        <v>1065</v>
      </c>
      <c r="C98" s="139" t="s">
        <v>1066</v>
      </c>
      <c r="D98" s="135" t="s">
        <v>1192</v>
      </c>
      <c r="E98" s="147"/>
      <c r="G98" s="147"/>
      <c r="I98" s="147"/>
      <c r="K98" s="147"/>
      <c r="M98" s="147"/>
    </row>
    <row r="99" spans="1:13" x14ac:dyDescent="0.2">
      <c r="A99" s="133" t="s">
        <v>950</v>
      </c>
      <c r="B99" s="135" t="s">
        <v>1096</v>
      </c>
      <c r="C99" s="139" t="s">
        <v>77</v>
      </c>
      <c r="D99" s="135" t="s">
        <v>1193</v>
      </c>
      <c r="E99" s="147"/>
      <c r="G99" s="147"/>
      <c r="I99" s="147"/>
      <c r="K99" s="147"/>
      <c r="M99" s="147"/>
    </row>
    <row r="100" spans="1:13" x14ac:dyDescent="0.2">
      <c r="A100" s="133" t="s">
        <v>1194</v>
      </c>
      <c r="B100" s="135" t="s">
        <v>1004</v>
      </c>
      <c r="C100" s="139" t="s">
        <v>57</v>
      </c>
      <c r="D100" s="135" t="s">
        <v>1195</v>
      </c>
      <c r="E100" s="147"/>
      <c r="G100" s="147"/>
      <c r="I100" s="147"/>
      <c r="K100" s="147"/>
      <c r="M100" s="147"/>
    </row>
    <row r="101" spans="1:13" x14ac:dyDescent="0.2">
      <c r="A101" s="133" t="s">
        <v>893</v>
      </c>
      <c r="B101" s="135" t="s">
        <v>1014</v>
      </c>
      <c r="C101" s="139" t="s">
        <v>76</v>
      </c>
      <c r="D101" s="136" t="s">
        <v>1196</v>
      </c>
      <c r="E101" s="147"/>
      <c r="G101" s="147"/>
      <c r="I101" s="147"/>
      <c r="K101" s="147"/>
      <c r="M101" s="147"/>
    </row>
    <row r="102" spans="1:13" x14ac:dyDescent="0.2">
      <c r="A102" s="133" t="s">
        <v>863</v>
      </c>
      <c r="B102" s="135" t="s">
        <v>1046</v>
      </c>
      <c r="C102" s="139" t="s">
        <v>1010</v>
      </c>
      <c r="D102" s="135" t="s">
        <v>1197</v>
      </c>
      <c r="E102" s="147"/>
      <c r="G102" s="147"/>
      <c r="I102" s="147"/>
      <c r="K102" s="147"/>
      <c r="M102" s="147"/>
    </row>
    <row r="103" spans="1:13" x14ac:dyDescent="0.2">
      <c r="A103" s="132" t="s">
        <v>468</v>
      </c>
      <c r="B103" s="134" t="s">
        <v>1086</v>
      </c>
      <c r="C103" s="138" t="s">
        <v>56</v>
      </c>
      <c r="D103" s="134" t="s">
        <v>1198</v>
      </c>
      <c r="E103" s="147"/>
      <c r="G103" s="147"/>
      <c r="I103" s="147"/>
      <c r="K103" s="147"/>
      <c r="M103" s="147"/>
    </row>
    <row r="104" spans="1:13" x14ac:dyDescent="0.2">
      <c r="A104" s="132" t="s">
        <v>1199</v>
      </c>
      <c r="B104" s="134">
        <v>303766</v>
      </c>
      <c r="C104" s="138" t="s">
        <v>51</v>
      </c>
      <c r="D104" s="137" t="s">
        <v>1200</v>
      </c>
      <c r="E104" s="147"/>
      <c r="G104" s="147"/>
      <c r="I104" s="147"/>
      <c r="K104" s="147"/>
      <c r="M104" s="147"/>
    </row>
    <row r="105" spans="1:13" x14ac:dyDescent="0.2">
      <c r="A105" s="132" t="s">
        <v>266</v>
      </c>
      <c r="B105" s="134">
        <v>303731</v>
      </c>
      <c r="C105" s="138" t="s">
        <v>69</v>
      </c>
      <c r="D105" s="134" t="s">
        <v>1201</v>
      </c>
      <c r="E105" s="147"/>
      <c r="G105" s="147"/>
      <c r="I105" s="147"/>
      <c r="K105" s="147"/>
      <c r="M105" s="147"/>
    </row>
    <row r="106" spans="1:13" x14ac:dyDescent="0.2">
      <c r="A106" s="132" t="s">
        <v>266</v>
      </c>
      <c r="B106" s="134" t="s">
        <v>1042</v>
      </c>
      <c r="C106" s="138" t="s">
        <v>52</v>
      </c>
      <c r="D106" s="134" t="s">
        <v>1201</v>
      </c>
      <c r="E106" s="147"/>
      <c r="G106" s="147"/>
      <c r="I106" s="147"/>
      <c r="K106" s="147"/>
      <c r="M106" s="147"/>
    </row>
    <row r="107" spans="1:13" x14ac:dyDescent="0.2">
      <c r="A107" s="132" t="s">
        <v>1202</v>
      </c>
      <c r="B107" s="134" t="s">
        <v>1053</v>
      </c>
      <c r="C107" s="138" t="s">
        <v>1054</v>
      </c>
      <c r="D107" s="134" t="s">
        <v>1203</v>
      </c>
      <c r="E107" s="147"/>
      <c r="G107" s="147"/>
      <c r="I107" s="147"/>
      <c r="K107" s="147"/>
      <c r="M107" s="147"/>
    </row>
    <row r="108" spans="1:13" x14ac:dyDescent="0.2">
      <c r="A108" s="132" t="s">
        <v>895</v>
      </c>
      <c r="B108" s="134">
        <v>303735</v>
      </c>
      <c r="C108" s="138" t="s">
        <v>76</v>
      </c>
      <c r="D108" s="137" t="s">
        <v>1204</v>
      </c>
      <c r="E108" s="146"/>
      <c r="G108" s="146"/>
      <c r="I108" s="146"/>
      <c r="K108" s="146"/>
      <c r="M108" s="146"/>
    </row>
    <row r="109" spans="1:13" x14ac:dyDescent="0.2">
      <c r="A109" s="133" t="s">
        <v>716</v>
      </c>
      <c r="B109" s="135" t="s">
        <v>1077</v>
      </c>
      <c r="C109" s="139" t="s">
        <v>1056</v>
      </c>
      <c r="D109" s="135" t="s">
        <v>1205</v>
      </c>
      <c r="E109" s="147"/>
      <c r="G109" s="147"/>
      <c r="I109" s="147"/>
      <c r="K109" s="147"/>
      <c r="M109" s="147"/>
    </row>
    <row r="110" spans="1:13" x14ac:dyDescent="0.2">
      <c r="A110" s="132" t="s">
        <v>203</v>
      </c>
      <c r="B110" s="134">
        <v>303766</v>
      </c>
      <c r="C110" s="138" t="s">
        <v>51</v>
      </c>
      <c r="D110" s="137" t="s">
        <v>1206</v>
      </c>
      <c r="E110" s="146"/>
      <c r="G110" s="146"/>
      <c r="I110" s="146"/>
      <c r="K110" s="146"/>
      <c r="M110" s="146"/>
    </row>
    <row r="111" spans="1:13" x14ac:dyDescent="0.2">
      <c r="A111" s="132" t="s">
        <v>752</v>
      </c>
      <c r="B111" s="134" t="s">
        <v>1134</v>
      </c>
      <c r="C111" s="138" t="s">
        <v>68</v>
      </c>
      <c r="D111" s="134" t="s">
        <v>1207</v>
      </c>
      <c r="E111" s="147"/>
      <c r="G111" s="147"/>
      <c r="I111" s="147"/>
      <c r="K111" s="147"/>
      <c r="M111" s="147"/>
    </row>
    <row r="112" spans="1:13" x14ac:dyDescent="0.2">
      <c r="A112" s="133" t="s">
        <v>1208</v>
      </c>
      <c r="B112" s="135" t="s">
        <v>1134</v>
      </c>
      <c r="C112" s="139" t="s">
        <v>68</v>
      </c>
      <c r="D112" s="135" t="s">
        <v>1209</v>
      </c>
      <c r="E112" s="147"/>
      <c r="G112" s="147"/>
      <c r="I112" s="147"/>
      <c r="K112" s="147"/>
      <c r="M112" s="147"/>
    </row>
    <row r="113" spans="1:13" x14ac:dyDescent="0.2">
      <c r="A113" s="133" t="s">
        <v>897</v>
      </c>
      <c r="B113" s="135" t="s">
        <v>1014</v>
      </c>
      <c r="C113" s="139" t="s">
        <v>76</v>
      </c>
      <c r="D113" s="135" t="s">
        <v>1210</v>
      </c>
      <c r="E113" s="147"/>
      <c r="G113" s="147"/>
      <c r="I113" s="147"/>
      <c r="K113" s="147"/>
      <c r="M113" s="147"/>
    </row>
    <row r="114" spans="1:13" x14ac:dyDescent="0.2">
      <c r="A114" s="133" t="s">
        <v>1211</v>
      </c>
      <c r="B114" s="135" t="s">
        <v>1053</v>
      </c>
      <c r="C114" s="139" t="s">
        <v>1054</v>
      </c>
      <c r="D114" s="135" t="s">
        <v>1212</v>
      </c>
      <c r="E114" s="147"/>
      <c r="G114" s="147"/>
      <c r="I114" s="147"/>
      <c r="K114" s="147"/>
      <c r="M114" s="147"/>
    </row>
    <row r="115" spans="1:13" x14ac:dyDescent="0.2">
      <c r="A115" s="132" t="s">
        <v>651</v>
      </c>
      <c r="B115" s="134" t="s">
        <v>1070</v>
      </c>
      <c r="C115" s="138" t="s">
        <v>65</v>
      </c>
      <c r="D115" s="134" t="s">
        <v>1213</v>
      </c>
      <c r="E115" s="147"/>
      <c r="G115" s="147"/>
      <c r="I115" s="147"/>
      <c r="K115" s="147"/>
      <c r="M115" s="147"/>
    </row>
    <row r="116" spans="1:13" x14ac:dyDescent="0.2">
      <c r="A116" s="132" t="s">
        <v>808</v>
      </c>
      <c r="B116" s="134" t="s">
        <v>1079</v>
      </c>
      <c r="C116" s="138" t="s">
        <v>69</v>
      </c>
      <c r="D116" s="134" t="s">
        <v>1214</v>
      </c>
      <c r="E116" s="147"/>
      <c r="G116" s="147"/>
      <c r="I116" s="147"/>
      <c r="K116" s="147"/>
      <c r="M116" s="147"/>
    </row>
    <row r="117" spans="1:13" x14ac:dyDescent="0.2">
      <c r="A117" s="132" t="s">
        <v>1215</v>
      </c>
      <c r="B117" s="134" t="s">
        <v>1062</v>
      </c>
      <c r="C117" s="138" t="s">
        <v>1063</v>
      </c>
      <c r="D117" s="134" t="s">
        <v>1216</v>
      </c>
      <c r="E117" s="147"/>
      <c r="G117" s="147"/>
      <c r="I117" s="147"/>
      <c r="K117" s="147"/>
      <c r="M117" s="147"/>
    </row>
    <row r="118" spans="1:13" x14ac:dyDescent="0.2">
      <c r="A118" s="132" t="s">
        <v>441</v>
      </c>
      <c r="B118" s="134" t="s">
        <v>1024</v>
      </c>
      <c r="C118" s="138" t="s">
        <v>1025</v>
      </c>
      <c r="D118" s="134" t="s">
        <v>1217</v>
      </c>
      <c r="E118" s="147"/>
      <c r="G118" s="147"/>
      <c r="I118" s="147"/>
      <c r="K118" s="147"/>
      <c r="M118" s="147"/>
    </row>
    <row r="119" spans="1:13" x14ac:dyDescent="0.2">
      <c r="A119" s="132" t="s">
        <v>206</v>
      </c>
      <c r="B119" s="134" t="s">
        <v>1140</v>
      </c>
      <c r="C119" s="138" t="s">
        <v>51</v>
      </c>
      <c r="D119" s="137" t="s">
        <v>1218</v>
      </c>
      <c r="E119" s="147"/>
      <c r="G119" s="147"/>
      <c r="I119" s="147"/>
      <c r="K119" s="147"/>
      <c r="M119" s="147"/>
    </row>
    <row r="120" spans="1:13" x14ac:dyDescent="0.2">
      <c r="A120" s="133" t="s">
        <v>268</v>
      </c>
      <c r="B120" s="135" t="s">
        <v>1042</v>
      </c>
      <c r="C120" s="139" t="s">
        <v>52</v>
      </c>
      <c r="D120" s="135" t="s">
        <v>1219</v>
      </c>
      <c r="E120" s="146"/>
      <c r="G120" s="146"/>
      <c r="I120" s="146"/>
      <c r="K120" s="146"/>
      <c r="M120" s="146"/>
    </row>
    <row r="121" spans="1:13" x14ac:dyDescent="0.2">
      <c r="A121" s="132" t="s">
        <v>754</v>
      </c>
      <c r="B121" s="134" t="s">
        <v>1134</v>
      </c>
      <c r="C121" s="138" t="s">
        <v>68</v>
      </c>
      <c r="D121" s="134" t="s">
        <v>1220</v>
      </c>
      <c r="E121" s="147"/>
      <c r="G121" s="147"/>
      <c r="I121" s="147"/>
      <c r="K121" s="147"/>
      <c r="M121" s="147"/>
    </row>
    <row r="122" spans="1:13" x14ac:dyDescent="0.2">
      <c r="A122" s="133" t="s">
        <v>270</v>
      </c>
      <c r="B122" s="135" t="s">
        <v>1042</v>
      </c>
      <c r="C122" s="139" t="s">
        <v>52</v>
      </c>
      <c r="D122" s="135" t="s">
        <v>1221</v>
      </c>
      <c r="E122" s="146"/>
      <c r="G122" s="146"/>
      <c r="I122" s="146"/>
      <c r="K122" s="146"/>
      <c r="M122" s="146"/>
    </row>
    <row r="123" spans="1:13" x14ac:dyDescent="0.2">
      <c r="A123" s="132" t="s">
        <v>684</v>
      </c>
      <c r="B123" s="134" t="s">
        <v>1059</v>
      </c>
      <c r="C123" s="138" t="s">
        <v>66</v>
      </c>
      <c r="D123" s="134" t="s">
        <v>1222</v>
      </c>
      <c r="E123" s="147"/>
      <c r="G123" s="147"/>
      <c r="I123" s="147"/>
      <c r="K123" s="147"/>
      <c r="M123" s="147"/>
    </row>
    <row r="124" spans="1:13" x14ac:dyDescent="0.2">
      <c r="A124" s="133" t="s">
        <v>718</v>
      </c>
      <c r="B124" s="135" t="s">
        <v>1077</v>
      </c>
      <c r="C124" s="139" t="s">
        <v>1056</v>
      </c>
      <c r="D124" s="135" t="s">
        <v>1223</v>
      </c>
      <c r="E124" s="147"/>
      <c r="G124" s="147"/>
      <c r="I124" s="147"/>
      <c r="K124" s="147"/>
      <c r="M124" s="147"/>
    </row>
    <row r="125" spans="1:13" x14ac:dyDescent="0.2">
      <c r="A125" s="132" t="s">
        <v>1224</v>
      </c>
      <c r="B125" s="134" t="s">
        <v>1059</v>
      </c>
      <c r="C125" s="138" t="s">
        <v>66</v>
      </c>
      <c r="D125" s="134" t="s">
        <v>1225</v>
      </c>
      <c r="E125" s="147"/>
      <c r="G125" s="147"/>
      <c r="I125" s="147"/>
      <c r="K125" s="147"/>
      <c r="M125" s="147"/>
    </row>
    <row r="126" spans="1:13" x14ac:dyDescent="0.2">
      <c r="A126" s="133" t="s">
        <v>540</v>
      </c>
      <c r="B126" s="135" t="s">
        <v>1020</v>
      </c>
      <c r="C126" s="139" t="s">
        <v>60</v>
      </c>
      <c r="D126" s="135" t="s">
        <v>1226</v>
      </c>
      <c r="E126" s="147"/>
      <c r="G126" s="147"/>
      <c r="I126" s="147"/>
      <c r="K126" s="147"/>
      <c r="M126" s="147"/>
    </row>
    <row r="127" spans="1:13" x14ac:dyDescent="0.2">
      <c r="A127" s="132" t="s">
        <v>899</v>
      </c>
      <c r="B127" s="134" t="s">
        <v>1014</v>
      </c>
      <c r="C127" s="138" t="s">
        <v>76</v>
      </c>
      <c r="D127" s="134" t="s">
        <v>1227</v>
      </c>
      <c r="E127" s="147"/>
      <c r="G127" s="147"/>
      <c r="I127" s="147"/>
      <c r="K127" s="147"/>
      <c r="M127" s="147"/>
    </row>
    <row r="128" spans="1:13" x14ac:dyDescent="0.2">
      <c r="A128" s="132" t="s">
        <v>1228</v>
      </c>
      <c r="B128" s="134">
        <v>301715</v>
      </c>
      <c r="C128" s="138" t="s">
        <v>1054</v>
      </c>
      <c r="D128" s="137" t="s">
        <v>1229</v>
      </c>
      <c r="E128" s="147"/>
      <c r="G128" s="147"/>
      <c r="I128" s="147"/>
      <c r="K128" s="147"/>
      <c r="M128" s="147"/>
    </row>
    <row r="129" spans="1:13" x14ac:dyDescent="0.2">
      <c r="A129" s="132" t="s">
        <v>336</v>
      </c>
      <c r="B129" s="134" t="s">
        <v>1029</v>
      </c>
      <c r="C129" s="138" t="s">
        <v>1030</v>
      </c>
      <c r="D129" s="134" t="s">
        <v>1230</v>
      </c>
      <c r="E129" s="147"/>
      <c r="G129" s="147"/>
      <c r="I129" s="147"/>
      <c r="K129" s="147"/>
      <c r="M129" s="147"/>
    </row>
    <row r="130" spans="1:13" x14ac:dyDescent="0.2">
      <c r="A130" s="133" t="s">
        <v>1231</v>
      </c>
      <c r="B130" s="135">
        <v>303715</v>
      </c>
      <c r="C130" s="139" t="s">
        <v>1054</v>
      </c>
      <c r="D130" s="136" t="s">
        <v>1232</v>
      </c>
      <c r="E130" s="147"/>
      <c r="G130" s="147"/>
      <c r="I130" s="147"/>
      <c r="K130" s="147"/>
      <c r="M130" s="147"/>
    </row>
    <row r="131" spans="1:13" x14ac:dyDescent="0.2">
      <c r="A131" s="132" t="s">
        <v>809</v>
      </c>
      <c r="B131" s="134" t="s">
        <v>1079</v>
      </c>
      <c r="C131" s="138" t="s">
        <v>69</v>
      </c>
      <c r="D131" s="134" t="s">
        <v>1233</v>
      </c>
      <c r="E131" s="147"/>
      <c r="G131" s="147"/>
      <c r="I131" s="147"/>
      <c r="K131" s="147"/>
      <c r="M131" s="147"/>
    </row>
    <row r="132" spans="1:13" x14ac:dyDescent="0.2">
      <c r="A132" s="132" t="s">
        <v>1234</v>
      </c>
      <c r="B132" s="134" t="s">
        <v>1121</v>
      </c>
      <c r="C132" s="138" t="s">
        <v>1074</v>
      </c>
      <c r="D132" s="134" t="s">
        <v>1235</v>
      </c>
      <c r="E132" s="147"/>
      <c r="G132" s="147"/>
      <c r="I132" s="147"/>
      <c r="K132" s="147"/>
      <c r="M132" s="147"/>
    </row>
    <row r="133" spans="1:13" x14ac:dyDescent="0.2">
      <c r="A133" s="133" t="s">
        <v>687</v>
      </c>
      <c r="B133" s="135" t="s">
        <v>1059</v>
      </c>
      <c r="C133" s="139" t="s">
        <v>66</v>
      </c>
      <c r="D133" s="135" t="s">
        <v>1236</v>
      </c>
      <c r="E133" s="147"/>
      <c r="G133" s="147"/>
      <c r="I133" s="147"/>
      <c r="K133" s="147"/>
      <c r="M133" s="147"/>
    </row>
    <row r="134" spans="1:13" x14ac:dyDescent="0.2">
      <c r="A134" s="133" t="s">
        <v>952</v>
      </c>
      <c r="B134" s="135" t="s">
        <v>1096</v>
      </c>
      <c r="C134" s="139" t="s">
        <v>77</v>
      </c>
      <c r="D134" s="135" t="s">
        <v>1237</v>
      </c>
      <c r="E134" s="147"/>
      <c r="G134" s="147"/>
      <c r="I134" s="147"/>
      <c r="K134" s="147"/>
      <c r="M134" s="147"/>
    </row>
    <row r="135" spans="1:13" x14ac:dyDescent="0.2">
      <c r="A135" s="133" t="s">
        <v>690</v>
      </c>
      <c r="B135" s="135" t="s">
        <v>1059</v>
      </c>
      <c r="C135" s="139" t="s">
        <v>66</v>
      </c>
      <c r="D135" s="135" t="s">
        <v>1238</v>
      </c>
      <c r="E135" s="147"/>
      <c r="G135" s="147"/>
      <c r="I135" s="147"/>
      <c r="K135" s="147"/>
      <c r="M135" s="147"/>
    </row>
    <row r="136" spans="1:13" x14ac:dyDescent="0.2">
      <c r="A136" s="133" t="s">
        <v>1239</v>
      </c>
      <c r="B136" s="135" t="s">
        <v>1062</v>
      </c>
      <c r="C136" s="139" t="s">
        <v>1063</v>
      </c>
      <c r="D136" s="135" t="s">
        <v>1240</v>
      </c>
      <c r="E136" s="147"/>
      <c r="G136" s="147"/>
      <c r="I136" s="147"/>
      <c r="K136" s="147"/>
      <c r="M136" s="147"/>
    </row>
    <row r="137" spans="1:13" x14ac:dyDescent="0.2">
      <c r="A137" s="132" t="s">
        <v>1241</v>
      </c>
      <c r="B137" s="134">
        <v>302726</v>
      </c>
      <c r="C137" s="138" t="s">
        <v>1110</v>
      </c>
      <c r="D137" s="137" t="s">
        <v>1242</v>
      </c>
      <c r="E137" s="147"/>
      <c r="G137" s="147"/>
      <c r="I137" s="147"/>
      <c r="K137" s="147"/>
      <c r="M137" s="147"/>
    </row>
    <row r="138" spans="1:13" x14ac:dyDescent="0.2">
      <c r="A138" s="132" t="s">
        <v>338</v>
      </c>
      <c r="B138" s="134" t="s">
        <v>1029</v>
      </c>
      <c r="C138" s="138" t="s">
        <v>1030</v>
      </c>
      <c r="D138" s="134" t="s">
        <v>1243</v>
      </c>
      <c r="E138" s="147"/>
      <c r="G138" s="147"/>
      <c r="I138" s="147"/>
      <c r="K138" s="147"/>
      <c r="M138" s="147"/>
    </row>
    <row r="139" spans="1:13" x14ac:dyDescent="0.2">
      <c r="A139" s="133" t="s">
        <v>574</v>
      </c>
      <c r="B139" s="135" t="s">
        <v>1036</v>
      </c>
      <c r="C139" s="139" t="s">
        <v>1037</v>
      </c>
      <c r="D139" s="135" t="s">
        <v>1244</v>
      </c>
      <c r="E139" s="147"/>
      <c r="G139" s="147"/>
      <c r="I139" s="147"/>
      <c r="K139" s="147"/>
      <c r="M139" s="147"/>
    </row>
    <row r="140" spans="1:13" x14ac:dyDescent="0.2">
      <c r="A140" s="133" t="s">
        <v>1245</v>
      </c>
      <c r="B140" s="135" t="s">
        <v>1053</v>
      </c>
      <c r="C140" s="139" t="s">
        <v>1054</v>
      </c>
      <c r="D140" s="135" t="s">
        <v>1246</v>
      </c>
      <c r="E140" s="147"/>
      <c r="G140" s="147"/>
      <c r="I140" s="147"/>
      <c r="K140" s="147"/>
      <c r="M140" s="147"/>
    </row>
    <row r="141" spans="1:13" x14ac:dyDescent="0.2">
      <c r="A141" s="132" t="s">
        <v>272</v>
      </c>
      <c r="B141" s="134" t="s">
        <v>1042</v>
      </c>
      <c r="C141" s="138" t="s">
        <v>52</v>
      </c>
      <c r="D141" s="134" t="s">
        <v>1247</v>
      </c>
      <c r="E141" s="146"/>
      <c r="G141" s="146"/>
      <c r="I141" s="146"/>
      <c r="K141" s="146"/>
      <c r="M141" s="146"/>
    </row>
    <row r="142" spans="1:13" x14ac:dyDescent="0.2">
      <c r="A142" s="133" t="s">
        <v>1248</v>
      </c>
      <c r="B142" s="135" t="s">
        <v>1125</v>
      </c>
      <c r="C142" s="139" t="s">
        <v>1110</v>
      </c>
      <c r="D142" s="135" t="s">
        <v>1249</v>
      </c>
      <c r="E142" s="146"/>
      <c r="G142" s="146"/>
      <c r="I142" s="146"/>
      <c r="K142" s="146"/>
      <c r="M142" s="146"/>
    </row>
    <row r="143" spans="1:13" x14ac:dyDescent="0.2">
      <c r="A143" s="133" t="s">
        <v>1250</v>
      </c>
      <c r="B143" s="135" t="s">
        <v>1044</v>
      </c>
      <c r="C143" s="139" t="s">
        <v>54</v>
      </c>
      <c r="D143" s="135"/>
      <c r="E143" s="147"/>
      <c r="G143" s="147"/>
      <c r="I143" s="147"/>
      <c r="K143" s="147"/>
      <c r="M143" s="147"/>
    </row>
    <row r="144" spans="1:13" x14ac:dyDescent="0.2">
      <c r="A144" s="133" t="s">
        <v>720</v>
      </c>
      <c r="B144" s="135">
        <v>303750</v>
      </c>
      <c r="C144" s="139" t="s">
        <v>1056</v>
      </c>
      <c r="D144" s="136" t="s">
        <v>1251</v>
      </c>
      <c r="E144" s="147"/>
      <c r="G144" s="147"/>
      <c r="I144" s="147"/>
      <c r="K144" s="147"/>
      <c r="M144" s="147"/>
    </row>
    <row r="145" spans="1:13" x14ac:dyDescent="0.2">
      <c r="A145" s="132" t="s">
        <v>577</v>
      </c>
      <c r="B145" s="134" t="s">
        <v>1036</v>
      </c>
      <c r="C145" s="138" t="s">
        <v>1037</v>
      </c>
      <c r="D145" s="134" t="s">
        <v>1252</v>
      </c>
      <c r="E145" s="146"/>
      <c r="G145" s="146"/>
      <c r="I145" s="146"/>
      <c r="K145" s="146"/>
      <c r="M145" s="146"/>
    </row>
    <row r="146" spans="1:13" x14ac:dyDescent="0.2">
      <c r="A146" s="132" t="s">
        <v>691</v>
      </c>
      <c r="B146" s="134" t="s">
        <v>1059</v>
      </c>
      <c r="C146" s="138" t="s">
        <v>66</v>
      </c>
      <c r="D146" s="134" t="s">
        <v>1253</v>
      </c>
      <c r="E146" s="147"/>
      <c r="G146" s="147"/>
      <c r="I146" s="147"/>
      <c r="K146" s="147"/>
      <c r="M146" s="147"/>
    </row>
    <row r="147" spans="1:13" x14ac:dyDescent="0.2">
      <c r="A147" s="132" t="s">
        <v>1254</v>
      </c>
      <c r="B147" s="134" t="s">
        <v>1125</v>
      </c>
      <c r="C147" s="138" t="s">
        <v>1110</v>
      </c>
      <c r="D147" s="134" t="s">
        <v>1255</v>
      </c>
      <c r="E147" s="147"/>
      <c r="G147" s="147"/>
      <c r="I147" s="147"/>
      <c r="K147" s="147"/>
      <c r="M147" s="147"/>
    </row>
    <row r="148" spans="1:13" x14ac:dyDescent="0.2">
      <c r="A148" s="133" t="s">
        <v>1256</v>
      </c>
      <c r="B148" s="135" t="s">
        <v>1096</v>
      </c>
      <c r="C148" s="139" t="s">
        <v>77</v>
      </c>
      <c r="D148" s="135" t="s">
        <v>1257</v>
      </c>
      <c r="E148" s="147"/>
      <c r="G148" s="147"/>
      <c r="I148" s="147"/>
      <c r="K148" s="147"/>
      <c r="M148" s="147"/>
    </row>
    <row r="149" spans="1:13" x14ac:dyDescent="0.2">
      <c r="A149" s="133" t="s">
        <v>1258</v>
      </c>
      <c r="B149" s="135">
        <v>302303</v>
      </c>
      <c r="C149" s="139" t="s">
        <v>1074</v>
      </c>
      <c r="D149" s="136" t="s">
        <v>1259</v>
      </c>
      <c r="E149" s="147"/>
      <c r="G149" s="147"/>
      <c r="I149" s="147"/>
      <c r="K149" s="147"/>
      <c r="M149" s="147"/>
    </row>
    <row r="150" spans="1:13" x14ac:dyDescent="0.2">
      <c r="A150" s="132" t="s">
        <v>1260</v>
      </c>
      <c r="B150" s="134" t="s">
        <v>1053</v>
      </c>
      <c r="C150" s="138" t="s">
        <v>1054</v>
      </c>
      <c r="D150" s="134" t="s">
        <v>1261</v>
      </c>
      <c r="E150" s="147"/>
      <c r="G150" s="147"/>
      <c r="I150" s="147"/>
      <c r="K150" s="147"/>
      <c r="M150" s="147"/>
    </row>
    <row r="151" spans="1:13" x14ac:dyDescent="0.2">
      <c r="A151" s="133" t="s">
        <v>1262</v>
      </c>
      <c r="B151" s="135">
        <v>303715</v>
      </c>
      <c r="C151" s="139" t="s">
        <v>1054</v>
      </c>
      <c r="D151" s="136" t="s">
        <v>1263</v>
      </c>
      <c r="E151" s="147"/>
      <c r="G151" s="147"/>
      <c r="I151" s="147"/>
      <c r="K151" s="147"/>
      <c r="M151" s="147"/>
    </row>
    <row r="152" spans="1:13" x14ac:dyDescent="0.2">
      <c r="A152" s="133" t="s">
        <v>274</v>
      </c>
      <c r="B152" s="135">
        <v>303760</v>
      </c>
      <c r="C152" s="139" t="s">
        <v>52</v>
      </c>
      <c r="D152" s="136" t="s">
        <v>1264</v>
      </c>
      <c r="E152" s="147"/>
      <c r="G152" s="147"/>
      <c r="I152" s="147"/>
      <c r="K152" s="147"/>
      <c r="M152" s="147"/>
    </row>
    <row r="153" spans="1:13" x14ac:dyDescent="0.2">
      <c r="A153" s="133" t="s">
        <v>471</v>
      </c>
      <c r="B153" s="135" t="s">
        <v>1086</v>
      </c>
      <c r="C153" s="139" t="s">
        <v>56</v>
      </c>
      <c r="D153" s="135" t="s">
        <v>1265</v>
      </c>
      <c r="E153" s="147"/>
      <c r="G153" s="147"/>
      <c r="I153" s="147"/>
      <c r="K153" s="147"/>
      <c r="M153" s="147"/>
    </row>
    <row r="154" spans="1:13" x14ac:dyDescent="0.2">
      <c r="A154" s="133" t="s">
        <v>901</v>
      </c>
      <c r="B154" s="135" t="s">
        <v>1014</v>
      </c>
      <c r="C154" s="139" t="s">
        <v>76</v>
      </c>
      <c r="D154" s="135" t="s">
        <v>1266</v>
      </c>
      <c r="E154" s="147"/>
      <c r="G154" s="147"/>
      <c r="I154" s="147"/>
      <c r="K154" s="147"/>
      <c r="M154" s="147"/>
    </row>
    <row r="155" spans="1:13" x14ac:dyDescent="0.2">
      <c r="A155" s="132" t="s">
        <v>903</v>
      </c>
      <c r="B155" s="134" t="s">
        <v>1014</v>
      </c>
      <c r="C155" s="138" t="s">
        <v>76</v>
      </c>
      <c r="D155" s="134" t="s">
        <v>1267</v>
      </c>
      <c r="E155" s="147"/>
      <c r="G155" s="147"/>
      <c r="I155" s="147"/>
      <c r="K155" s="147"/>
      <c r="M155" s="147"/>
    </row>
    <row r="156" spans="1:13" x14ac:dyDescent="0.2">
      <c r="A156" s="132" t="s">
        <v>496</v>
      </c>
      <c r="B156" s="134" t="s">
        <v>1004</v>
      </c>
      <c r="C156" s="138" t="s">
        <v>57</v>
      </c>
      <c r="D156" s="134" t="s">
        <v>1268</v>
      </c>
      <c r="E156" s="147"/>
      <c r="G156" s="147"/>
      <c r="I156" s="147"/>
      <c r="K156" s="147"/>
      <c r="M156" s="147"/>
    </row>
    <row r="157" spans="1:13" x14ac:dyDescent="0.2">
      <c r="A157" s="132" t="s">
        <v>954</v>
      </c>
      <c r="B157" s="134" t="s">
        <v>1096</v>
      </c>
      <c r="C157" s="138" t="s">
        <v>77</v>
      </c>
      <c r="D157" s="134" t="s">
        <v>1269</v>
      </c>
      <c r="E157" s="146"/>
      <c r="G157" s="146"/>
      <c r="I157" s="146"/>
      <c r="K157" s="146"/>
      <c r="M157" s="146"/>
    </row>
    <row r="158" spans="1:13" x14ac:dyDescent="0.2">
      <c r="A158" s="132" t="s">
        <v>955</v>
      </c>
      <c r="B158" s="134" t="s">
        <v>1096</v>
      </c>
      <c r="C158" s="138" t="s">
        <v>77</v>
      </c>
      <c r="D158" s="134" t="s">
        <v>1270</v>
      </c>
      <c r="E158" s="147"/>
      <c r="G158" s="147"/>
      <c r="I158" s="147"/>
      <c r="K158" s="147"/>
      <c r="M158" s="147"/>
    </row>
    <row r="159" spans="1:13" x14ac:dyDescent="0.2">
      <c r="A159" s="133" t="s">
        <v>580</v>
      </c>
      <c r="B159" s="135" t="s">
        <v>1036</v>
      </c>
      <c r="C159" s="139" t="s">
        <v>1037</v>
      </c>
      <c r="D159" s="135" t="s">
        <v>1271</v>
      </c>
      <c r="E159" s="147"/>
      <c r="G159" s="147"/>
      <c r="I159" s="147"/>
      <c r="K159" s="147"/>
      <c r="M159" s="147"/>
    </row>
    <row r="160" spans="1:13" x14ac:dyDescent="0.2">
      <c r="A160" s="132" t="s">
        <v>340</v>
      </c>
      <c r="B160" s="134" t="s">
        <v>1029</v>
      </c>
      <c r="C160" s="138" t="s">
        <v>1030</v>
      </c>
      <c r="D160" s="134" t="s">
        <v>1272</v>
      </c>
      <c r="E160" s="147"/>
      <c r="G160" s="147"/>
      <c r="I160" s="147"/>
      <c r="K160" s="147"/>
      <c r="M160" s="147"/>
    </row>
    <row r="161" spans="1:13" x14ac:dyDescent="0.2">
      <c r="A161" s="132" t="s">
        <v>344</v>
      </c>
      <c r="B161" s="134" t="s">
        <v>344</v>
      </c>
      <c r="C161" s="138" t="s">
        <v>344</v>
      </c>
      <c r="D161" s="134" t="s">
        <v>344</v>
      </c>
      <c r="E161" s="147"/>
      <c r="G161" s="147"/>
      <c r="I161" s="147"/>
      <c r="K161" s="147"/>
      <c r="M161" s="147"/>
    </row>
    <row r="162" spans="1:13" x14ac:dyDescent="0.2">
      <c r="A162" s="133" t="s">
        <v>905</v>
      </c>
      <c r="B162" s="135" t="s">
        <v>1014</v>
      </c>
      <c r="C162" s="139" t="s">
        <v>76</v>
      </c>
      <c r="D162" s="135" t="s">
        <v>1273</v>
      </c>
      <c r="E162" s="147"/>
      <c r="G162" s="147"/>
      <c r="I162" s="147"/>
      <c r="K162" s="147"/>
      <c r="M162" s="147"/>
    </row>
    <row r="163" spans="1:13" x14ac:dyDescent="0.2">
      <c r="A163" s="133" t="s">
        <v>497</v>
      </c>
      <c r="B163" s="135" t="s">
        <v>1004</v>
      </c>
      <c r="C163" s="139" t="s">
        <v>57</v>
      </c>
      <c r="D163" s="135" t="s">
        <v>1274</v>
      </c>
      <c r="E163" s="147"/>
      <c r="G163" s="147"/>
      <c r="I163" s="147"/>
      <c r="K163" s="147"/>
      <c r="M163" s="147"/>
    </row>
    <row r="164" spans="1:13" x14ac:dyDescent="0.2">
      <c r="A164" s="132" t="s">
        <v>1275</v>
      </c>
      <c r="B164" s="134" t="s">
        <v>1062</v>
      </c>
      <c r="C164" s="138" t="s">
        <v>1063</v>
      </c>
      <c r="D164" s="134" t="s">
        <v>1276</v>
      </c>
      <c r="E164" s="147"/>
      <c r="G164" s="147"/>
      <c r="I164" s="147"/>
      <c r="K164" s="147"/>
      <c r="M164" s="147"/>
    </row>
    <row r="165" spans="1:13" x14ac:dyDescent="0.2">
      <c r="A165" s="132" t="s">
        <v>501</v>
      </c>
      <c r="B165" s="134" t="s">
        <v>999</v>
      </c>
      <c r="C165" s="138" t="s">
        <v>58</v>
      </c>
      <c r="D165" s="134" t="s">
        <v>1277</v>
      </c>
      <c r="E165" s="147"/>
      <c r="G165" s="147"/>
      <c r="I165" s="147"/>
      <c r="K165" s="147"/>
      <c r="M165" s="147"/>
    </row>
    <row r="166" spans="1:13" x14ac:dyDescent="0.2">
      <c r="A166" s="133" t="s">
        <v>393</v>
      </c>
      <c r="B166" s="135">
        <v>303781</v>
      </c>
      <c r="C166" s="139" t="s">
        <v>54</v>
      </c>
      <c r="D166" s="136" t="s">
        <v>1278</v>
      </c>
      <c r="E166" s="147"/>
      <c r="G166" s="147"/>
      <c r="I166" s="147"/>
      <c r="K166" s="147"/>
      <c r="M166" s="147"/>
    </row>
    <row r="167" spans="1:13" x14ac:dyDescent="0.2">
      <c r="A167" s="132" t="s">
        <v>396</v>
      </c>
      <c r="B167" s="134" t="s">
        <v>1044</v>
      </c>
      <c r="C167" s="138" t="s">
        <v>54</v>
      </c>
      <c r="D167" s="134" t="s">
        <v>1279</v>
      </c>
      <c r="E167" s="147"/>
      <c r="G167" s="147"/>
      <c r="I167" s="147"/>
      <c r="K167" s="147"/>
      <c r="M167" s="147"/>
    </row>
    <row r="168" spans="1:13" x14ac:dyDescent="0.2">
      <c r="A168" s="133" t="s">
        <v>382</v>
      </c>
      <c r="B168" s="135">
        <v>303740</v>
      </c>
      <c r="C168" s="139" t="s">
        <v>66</v>
      </c>
      <c r="D168" s="136" t="s">
        <v>1280</v>
      </c>
      <c r="E168" s="147"/>
      <c r="G168" s="147"/>
      <c r="I168" s="147"/>
      <c r="K168" s="147"/>
      <c r="M168" s="147"/>
    </row>
    <row r="169" spans="1:13" x14ac:dyDescent="0.2">
      <c r="A169" s="132" t="s">
        <v>907</v>
      </c>
      <c r="B169" s="134" t="s">
        <v>1014</v>
      </c>
      <c r="C169" s="138" t="s">
        <v>76</v>
      </c>
      <c r="D169" s="134" t="s">
        <v>1281</v>
      </c>
      <c r="E169" s="147"/>
      <c r="G169" s="147"/>
      <c r="I169" s="147"/>
      <c r="K169" s="147"/>
      <c r="M169" s="147"/>
    </row>
    <row r="170" spans="1:13" x14ac:dyDescent="0.2">
      <c r="A170" s="132" t="s">
        <v>342</v>
      </c>
      <c r="B170" s="134" t="s">
        <v>1029</v>
      </c>
      <c r="C170" s="138" t="s">
        <v>1030</v>
      </c>
      <c r="D170" s="134" t="s">
        <v>1282</v>
      </c>
      <c r="E170" s="146"/>
      <c r="G170" s="146"/>
      <c r="I170" s="146"/>
      <c r="K170" s="146"/>
      <c r="M170" s="146"/>
    </row>
    <row r="171" spans="1:13" x14ac:dyDescent="0.2">
      <c r="A171" s="133" t="s">
        <v>541</v>
      </c>
      <c r="B171" s="135" t="s">
        <v>1020</v>
      </c>
      <c r="C171" s="139" t="s">
        <v>60</v>
      </c>
      <c r="D171" s="135" t="s">
        <v>1283</v>
      </c>
      <c r="E171" s="146"/>
      <c r="G171" s="146"/>
      <c r="I171" s="146"/>
      <c r="K171" s="146"/>
      <c r="M171" s="146"/>
    </row>
    <row r="172" spans="1:13" x14ac:dyDescent="0.2">
      <c r="A172" s="132" t="s">
        <v>1284</v>
      </c>
      <c r="B172" s="134">
        <v>303733</v>
      </c>
      <c r="C172" s="138" t="s">
        <v>77</v>
      </c>
      <c r="D172" s="134" t="s">
        <v>1285</v>
      </c>
      <c r="E172" s="147"/>
      <c r="G172" s="147"/>
      <c r="I172" s="147"/>
      <c r="K172" s="147"/>
      <c r="M172" s="147"/>
    </row>
    <row r="173" spans="1:13" x14ac:dyDescent="0.2">
      <c r="A173" s="133" t="s">
        <v>1284</v>
      </c>
      <c r="B173" s="135" t="s">
        <v>1070</v>
      </c>
      <c r="C173" s="139" t="s">
        <v>65</v>
      </c>
      <c r="D173" s="135" t="s">
        <v>1285</v>
      </c>
      <c r="E173" s="147"/>
      <c r="G173" s="147"/>
      <c r="I173" s="147"/>
      <c r="K173" s="147"/>
      <c r="M173" s="147"/>
    </row>
    <row r="174" spans="1:13" x14ac:dyDescent="0.2">
      <c r="A174" s="132" t="s">
        <v>1286</v>
      </c>
      <c r="B174" s="134" t="s">
        <v>1125</v>
      </c>
      <c r="C174" s="138" t="s">
        <v>1110</v>
      </c>
      <c r="D174" s="134" t="s">
        <v>1287</v>
      </c>
      <c r="E174" s="147"/>
      <c r="G174" s="147"/>
      <c r="I174" s="147"/>
      <c r="K174" s="147"/>
      <c r="M174" s="147"/>
    </row>
    <row r="175" spans="1:13" x14ac:dyDescent="0.2">
      <c r="A175" s="133" t="s">
        <v>836</v>
      </c>
      <c r="B175" s="135" t="s">
        <v>1288</v>
      </c>
      <c r="C175" s="139" t="s">
        <v>74</v>
      </c>
      <c r="D175" s="135" t="s">
        <v>1289</v>
      </c>
      <c r="E175" s="147"/>
      <c r="G175" s="147"/>
      <c r="I175" s="147"/>
      <c r="K175" s="147"/>
      <c r="M175" s="147"/>
    </row>
    <row r="176" spans="1:13" x14ac:dyDescent="0.2">
      <c r="A176" s="132" t="s">
        <v>722</v>
      </c>
      <c r="B176" s="134" t="s">
        <v>1077</v>
      </c>
      <c r="C176" s="138" t="s">
        <v>1056</v>
      </c>
      <c r="D176" s="134" t="s">
        <v>1290</v>
      </c>
      <c r="E176" s="147"/>
      <c r="G176" s="147"/>
      <c r="I176" s="147"/>
      <c r="K176" s="147"/>
      <c r="M176" s="147"/>
    </row>
    <row r="177" spans="1:13" x14ac:dyDescent="0.2">
      <c r="A177" s="132" t="s">
        <v>1291</v>
      </c>
      <c r="B177" s="134" t="s">
        <v>1053</v>
      </c>
      <c r="C177" s="138" t="s">
        <v>1054</v>
      </c>
      <c r="D177" s="134" t="s">
        <v>1292</v>
      </c>
      <c r="E177" s="147"/>
      <c r="G177" s="147"/>
      <c r="I177" s="147"/>
      <c r="K177" s="147"/>
      <c r="M177" s="147"/>
    </row>
    <row r="178" spans="1:13" x14ac:dyDescent="0.2">
      <c r="A178" s="132" t="s">
        <v>474</v>
      </c>
      <c r="B178" s="134" t="s">
        <v>1086</v>
      </c>
      <c r="C178" s="138" t="s">
        <v>56</v>
      </c>
      <c r="D178" s="134" t="s">
        <v>1293</v>
      </c>
      <c r="E178" s="147"/>
      <c r="G178" s="147"/>
      <c r="I178" s="147"/>
      <c r="K178" s="147"/>
      <c r="M178" s="147"/>
    </row>
    <row r="179" spans="1:13" x14ac:dyDescent="0.2">
      <c r="A179" s="140" t="s">
        <v>909</v>
      </c>
      <c r="B179" s="141" t="s">
        <v>1014</v>
      </c>
      <c r="C179" s="142" t="s">
        <v>76</v>
      </c>
      <c r="D179" s="141" t="s">
        <v>1294</v>
      </c>
      <c r="E179" s="147"/>
      <c r="G179" s="147"/>
      <c r="I179" s="147"/>
      <c r="K179" s="147"/>
      <c r="M179" s="147"/>
    </row>
  </sheetData>
  <sheetProtection sheet="1" objects="1" scenarios="1"/>
  <autoFilter ref="A2:D86" xr:uid="{00000000-0009-0000-0000-000013000000}">
    <sortState xmlns:xlrd2="http://schemas.microsoft.com/office/spreadsheetml/2017/richdata2" ref="A3:D179">
      <sortCondition ref="A2:A86"/>
    </sortState>
  </autoFilter>
  <mergeCells count="1">
    <mergeCell ref="A1:D1"/>
  </mergeCells>
  <dataValidations count="1">
    <dataValidation type="list" allowBlank="1" showInputMessage="1" showErrorMessage="1" sqref="D81:E88 D3:E79" xr:uid="{00000000-0002-0000-1300-000000000000}">
      <formula1>$F$3:$F$20</formula1>
    </dataValidation>
  </dataValidations>
  <pageMargins left="0.7" right="0.7" top="0.75" bottom="0.75" header="0.3" footer="0.3"/>
  <pageSetup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6AC6-F94B-491E-8B33-125CCD67B911}">
  <sheetPr>
    <tabColor rgb="FFFF0000"/>
  </sheetPr>
  <dimension ref="A1:N196"/>
  <sheetViews>
    <sheetView workbookViewId="0">
      <selection activeCell="H50" sqref="H50"/>
    </sheetView>
    <sheetView workbookViewId="1"/>
  </sheetViews>
  <sheetFormatPr baseColWidth="10" defaultColWidth="7.83203125" defaultRowHeight="16" x14ac:dyDescent="0.2"/>
  <cols>
    <col min="1" max="5" width="11.1640625" style="210" customWidth="1"/>
    <col min="6" max="6" width="43.1640625" style="210" customWidth="1"/>
    <col min="7" max="7" width="9.1640625" style="211" bestFit="1" customWidth="1"/>
    <col min="8" max="8" width="47.83203125" style="210" bestFit="1" customWidth="1"/>
    <col min="9" max="9" width="25.6640625" style="210" bestFit="1" customWidth="1"/>
    <col min="10" max="10" width="26.1640625" style="209" customWidth="1"/>
    <col min="11" max="11" width="9.1640625" style="209" customWidth="1"/>
    <col min="12" max="12" width="12.6640625" style="209" customWidth="1"/>
    <col min="13" max="13" width="41.6640625" style="213" bestFit="1" customWidth="1"/>
    <col min="14" max="15" width="7.83203125" style="210" bestFit="1" customWidth="1"/>
    <col min="16" max="16384" width="7.83203125" style="210"/>
  </cols>
  <sheetData>
    <row r="1" spans="1:14" s="208" customFormat="1" ht="29.25" customHeight="1" x14ac:dyDescent="0.2">
      <c r="A1" s="205" t="s">
        <v>1295</v>
      </c>
      <c r="B1" s="205" t="s">
        <v>1296</v>
      </c>
      <c r="C1" s="205" t="s">
        <v>1297</v>
      </c>
      <c r="D1" s="206" t="s">
        <v>1298</v>
      </c>
      <c r="E1" s="206" t="s">
        <v>1299</v>
      </c>
      <c r="F1" s="205" t="s">
        <v>1300</v>
      </c>
      <c r="G1" s="207" t="s">
        <v>1301</v>
      </c>
      <c r="H1" s="205" t="s">
        <v>1302</v>
      </c>
      <c r="I1" s="205" t="s">
        <v>1303</v>
      </c>
      <c r="J1" s="206" t="s">
        <v>1304</v>
      </c>
      <c r="K1" s="205" t="s">
        <v>1305</v>
      </c>
      <c r="L1" s="205" t="s">
        <v>1306</v>
      </c>
      <c r="M1" s="205" t="s">
        <v>199</v>
      </c>
      <c r="N1" s="205" t="s">
        <v>1307</v>
      </c>
    </row>
    <row r="2" spans="1:14" x14ac:dyDescent="0.2">
      <c r="A2" s="274"/>
      <c r="B2" s="209"/>
      <c r="C2" s="209"/>
      <c r="D2" s="209">
        <v>1</v>
      </c>
      <c r="E2" s="209"/>
      <c r="F2" s="210" t="s">
        <v>1308</v>
      </c>
      <c r="G2" s="211">
        <v>1</v>
      </c>
      <c r="H2" s="210" t="s">
        <v>1254</v>
      </c>
      <c r="I2" s="210" t="s">
        <v>1110</v>
      </c>
      <c r="J2" s="209" t="s">
        <v>1125</v>
      </c>
      <c r="K2" s="212" t="s">
        <v>1309</v>
      </c>
      <c r="L2" s="209" t="s">
        <v>1255</v>
      </c>
      <c r="M2" s="213" t="s">
        <v>1310</v>
      </c>
      <c r="N2" s="209"/>
    </row>
    <row r="3" spans="1:14" ht="15" x14ac:dyDescent="0.2">
      <c r="A3" s="770"/>
      <c r="B3" s="771"/>
      <c r="C3" s="771"/>
      <c r="D3" s="771"/>
      <c r="E3" s="772"/>
      <c r="F3" s="773"/>
      <c r="G3" s="774">
        <v>1</v>
      </c>
      <c r="H3" s="775" t="s">
        <v>746</v>
      </c>
      <c r="I3" s="775" t="s">
        <v>68</v>
      </c>
      <c r="J3" s="776">
        <v>303721</v>
      </c>
      <c r="K3" s="777" t="s">
        <v>1311</v>
      </c>
      <c r="L3" s="776"/>
      <c r="M3" s="778" t="s">
        <v>1312</v>
      </c>
      <c r="N3" s="776"/>
    </row>
    <row r="4" spans="1:14" ht="15" x14ac:dyDescent="0.2">
      <c r="A4" s="770"/>
      <c r="B4" s="771"/>
      <c r="C4" s="771"/>
      <c r="D4" s="771"/>
      <c r="E4" s="772"/>
      <c r="F4" s="773"/>
      <c r="G4" s="774">
        <v>1</v>
      </c>
      <c r="H4" s="775" t="s">
        <v>627</v>
      </c>
      <c r="I4" s="775" t="s">
        <v>1066</v>
      </c>
      <c r="J4" s="776">
        <v>303768</v>
      </c>
      <c r="K4" s="777" t="s">
        <v>1311</v>
      </c>
      <c r="L4" s="776"/>
      <c r="M4" s="778" t="s">
        <v>1312</v>
      </c>
      <c r="N4" s="776"/>
    </row>
    <row r="5" spans="1:14" ht="15" x14ac:dyDescent="0.2">
      <c r="A5" s="770"/>
      <c r="B5" s="771"/>
      <c r="C5" s="771"/>
      <c r="D5" s="771"/>
      <c r="E5" s="772"/>
      <c r="F5" s="773"/>
      <c r="G5" s="774">
        <v>1</v>
      </c>
      <c r="H5" s="775" t="s">
        <v>581</v>
      </c>
      <c r="I5" s="775" t="s">
        <v>61</v>
      </c>
      <c r="J5" s="776">
        <v>303767</v>
      </c>
      <c r="K5" s="777" t="s">
        <v>1311</v>
      </c>
      <c r="L5" s="776"/>
      <c r="M5" s="778" t="s">
        <v>1312</v>
      </c>
      <c r="N5" s="776"/>
    </row>
    <row r="6" spans="1:14" ht="15" x14ac:dyDescent="0.2">
      <c r="A6" s="770"/>
      <c r="B6" s="771"/>
      <c r="C6" s="771"/>
      <c r="D6" s="771"/>
      <c r="E6" s="772"/>
      <c r="F6" s="773"/>
      <c r="G6" s="774">
        <v>1</v>
      </c>
      <c r="H6" s="775" t="s">
        <v>653</v>
      </c>
      <c r="I6" s="775" t="s">
        <v>65</v>
      </c>
      <c r="J6" s="776">
        <v>303722</v>
      </c>
      <c r="K6" s="777" t="s">
        <v>1311</v>
      </c>
      <c r="L6" s="776"/>
      <c r="M6" s="778" t="s">
        <v>1312</v>
      </c>
      <c r="N6" s="776"/>
    </row>
    <row r="7" spans="1:14" ht="15" x14ac:dyDescent="0.2">
      <c r="A7" s="770"/>
      <c r="B7" s="771"/>
      <c r="C7" s="771"/>
      <c r="D7" s="771"/>
      <c r="E7" s="772"/>
      <c r="F7" s="773"/>
      <c r="G7" s="774">
        <v>1</v>
      </c>
      <c r="H7" s="775" t="s">
        <v>443</v>
      </c>
      <c r="I7" s="775" t="s">
        <v>1313</v>
      </c>
      <c r="J7" s="776">
        <v>303734</v>
      </c>
      <c r="K7" s="777" t="s">
        <v>1311</v>
      </c>
      <c r="L7" s="776"/>
      <c r="M7" s="778" t="s">
        <v>1312</v>
      </c>
      <c r="N7" s="776"/>
    </row>
    <row r="8" spans="1:14" ht="15" x14ac:dyDescent="0.2">
      <c r="A8" s="770"/>
      <c r="B8" s="771"/>
      <c r="C8" s="771"/>
      <c r="D8" s="771"/>
      <c r="E8" s="772"/>
      <c r="F8" s="773"/>
      <c r="G8" s="774">
        <v>1</v>
      </c>
      <c r="H8" s="775" t="s">
        <v>445</v>
      </c>
      <c r="I8" s="775" t="s">
        <v>1314</v>
      </c>
      <c r="J8" s="776">
        <v>303734</v>
      </c>
      <c r="K8" s="777" t="s">
        <v>1311</v>
      </c>
      <c r="L8" s="776"/>
      <c r="M8" s="778" t="s">
        <v>1312</v>
      </c>
      <c r="N8" s="776"/>
    </row>
    <row r="9" spans="1:14" x14ac:dyDescent="0.2">
      <c r="A9" s="274">
        <v>1</v>
      </c>
      <c r="B9" s="209"/>
      <c r="C9" s="209"/>
      <c r="D9" s="209"/>
      <c r="E9" s="209"/>
      <c r="F9" s="210" t="s">
        <v>1315</v>
      </c>
      <c r="G9" s="211">
        <v>1</v>
      </c>
      <c r="H9" s="210" t="s">
        <v>200</v>
      </c>
      <c r="I9" s="210" t="s">
        <v>51</v>
      </c>
      <c r="J9" s="209" t="s">
        <v>1140</v>
      </c>
      <c r="K9" s="209" t="s">
        <v>1311</v>
      </c>
      <c r="L9" s="209" t="s">
        <v>1141</v>
      </c>
      <c r="M9" s="210" t="s">
        <v>1316</v>
      </c>
      <c r="N9" s="209"/>
    </row>
    <row r="10" spans="1:14" x14ac:dyDescent="0.2">
      <c r="A10" s="274"/>
      <c r="B10" s="209"/>
      <c r="C10" s="209">
        <v>1</v>
      </c>
      <c r="D10" s="209"/>
      <c r="E10" s="209"/>
      <c r="F10" s="210" t="s">
        <v>1317</v>
      </c>
      <c r="G10" s="211">
        <v>1</v>
      </c>
      <c r="H10" s="210" t="s">
        <v>203</v>
      </c>
      <c r="I10" s="210" t="s">
        <v>51</v>
      </c>
      <c r="J10" s="209">
        <v>303766</v>
      </c>
      <c r="K10" s="209" t="s">
        <v>1311</v>
      </c>
      <c r="L10" s="218" t="s">
        <v>1206</v>
      </c>
      <c r="M10" s="219" t="s">
        <v>1318</v>
      </c>
      <c r="N10" s="209"/>
    </row>
    <row r="11" spans="1:14" x14ac:dyDescent="0.2">
      <c r="A11" s="274"/>
      <c r="B11" s="209"/>
      <c r="C11" s="209">
        <v>0.5</v>
      </c>
      <c r="D11" s="209"/>
      <c r="E11" s="209"/>
      <c r="F11" s="210" t="s">
        <v>1319</v>
      </c>
      <c r="G11" s="211">
        <v>1</v>
      </c>
      <c r="H11" s="210" t="s">
        <v>1241</v>
      </c>
      <c r="I11" s="210" t="s">
        <v>1110</v>
      </c>
      <c r="J11" s="209">
        <v>302726</v>
      </c>
      <c r="K11" s="209" t="s">
        <v>1309</v>
      </c>
      <c r="L11" s="218" t="s">
        <v>1242</v>
      </c>
      <c r="M11" s="213" t="s">
        <v>1320</v>
      </c>
      <c r="N11" s="209"/>
    </row>
    <row r="12" spans="1:14" x14ac:dyDescent="0.2">
      <c r="A12" s="274"/>
      <c r="B12" s="209"/>
      <c r="C12" s="209"/>
      <c r="D12" s="209">
        <v>1</v>
      </c>
      <c r="E12" s="209"/>
      <c r="F12" s="210" t="s">
        <v>1321</v>
      </c>
      <c r="G12" s="211">
        <v>1</v>
      </c>
      <c r="H12" s="210" t="s">
        <v>206</v>
      </c>
      <c r="I12" s="210" t="s">
        <v>51</v>
      </c>
      <c r="J12" s="209" t="s">
        <v>1140</v>
      </c>
      <c r="K12" s="209" t="s">
        <v>1311</v>
      </c>
      <c r="L12" s="218" t="s">
        <v>1218</v>
      </c>
      <c r="N12" s="209"/>
    </row>
    <row r="13" spans="1:14" x14ac:dyDescent="0.2">
      <c r="A13" s="274"/>
      <c r="B13" s="209"/>
      <c r="C13" s="209"/>
      <c r="D13" s="209">
        <v>1</v>
      </c>
      <c r="E13" s="209"/>
      <c r="F13" s="210" t="s">
        <v>1322</v>
      </c>
      <c r="G13" s="211">
        <v>1</v>
      </c>
      <c r="H13" s="210" t="s">
        <v>258</v>
      </c>
      <c r="I13" s="210" t="s">
        <v>52</v>
      </c>
      <c r="J13" s="209" t="s">
        <v>1042</v>
      </c>
      <c r="K13" s="209" t="s">
        <v>1311</v>
      </c>
      <c r="L13" s="209" t="s">
        <v>1043</v>
      </c>
      <c r="N13" s="209"/>
    </row>
    <row r="14" spans="1:14" x14ac:dyDescent="0.2">
      <c r="A14" s="274"/>
      <c r="B14" s="209">
        <v>1</v>
      </c>
      <c r="C14" s="209"/>
      <c r="D14" s="209"/>
      <c r="E14" s="209"/>
      <c r="F14" s="294" t="s">
        <v>1319</v>
      </c>
      <c r="G14" s="211">
        <v>1</v>
      </c>
      <c r="H14" s="210" t="s">
        <v>260</v>
      </c>
      <c r="I14" s="210" t="s">
        <v>52</v>
      </c>
      <c r="J14" s="209" t="s">
        <v>1042</v>
      </c>
      <c r="K14" s="209" t="s">
        <v>1311</v>
      </c>
      <c r="L14" s="209" t="s">
        <v>1130</v>
      </c>
      <c r="M14" s="213" t="s">
        <v>1323</v>
      </c>
      <c r="N14" s="209"/>
    </row>
    <row r="15" spans="1:14" x14ac:dyDescent="0.2">
      <c r="A15" s="274"/>
      <c r="B15" s="209"/>
      <c r="C15" s="209"/>
      <c r="D15" s="209">
        <v>0.5</v>
      </c>
      <c r="E15" s="209"/>
      <c r="F15" s="210" t="s">
        <v>1324</v>
      </c>
      <c r="G15" s="211">
        <v>0.5</v>
      </c>
      <c r="H15" s="210" t="s">
        <v>862</v>
      </c>
      <c r="I15" s="210" t="s">
        <v>1093</v>
      </c>
      <c r="J15" s="209" t="s">
        <v>1172</v>
      </c>
      <c r="K15" s="212" t="s">
        <v>1309</v>
      </c>
      <c r="L15" s="209" t="s">
        <v>1189</v>
      </c>
      <c r="N15" s="209"/>
    </row>
    <row r="16" spans="1:14" x14ac:dyDescent="0.2">
      <c r="A16" s="274"/>
      <c r="B16" s="209"/>
      <c r="C16" s="209"/>
      <c r="D16" s="209">
        <v>1</v>
      </c>
      <c r="E16" s="209"/>
      <c r="F16" s="210" t="s">
        <v>1325</v>
      </c>
      <c r="G16" s="211">
        <v>1</v>
      </c>
      <c r="H16" s="210" t="s">
        <v>1120</v>
      </c>
      <c r="I16" s="210" t="s">
        <v>1074</v>
      </c>
      <c r="J16" s="209" t="s">
        <v>1121</v>
      </c>
      <c r="K16" s="212" t="s">
        <v>1309</v>
      </c>
      <c r="L16" s="209" t="s">
        <v>1122</v>
      </c>
      <c r="N16" s="209"/>
    </row>
    <row r="17" spans="1:14" x14ac:dyDescent="0.2">
      <c r="A17" s="274">
        <v>0</v>
      </c>
      <c r="B17" s="209"/>
      <c r="C17" s="209"/>
      <c r="D17" s="209">
        <v>1</v>
      </c>
      <c r="E17" s="209"/>
      <c r="F17" s="210" t="s">
        <v>1326</v>
      </c>
      <c r="G17" s="211">
        <v>1</v>
      </c>
      <c r="H17" s="210" t="s">
        <v>1061</v>
      </c>
      <c r="I17" s="210" t="s">
        <v>1063</v>
      </c>
      <c r="J17" s="209" t="s">
        <v>1062</v>
      </c>
      <c r="K17" s="209" t="s">
        <v>1327</v>
      </c>
      <c r="L17" s="209" t="s">
        <v>1064</v>
      </c>
      <c r="M17" s="210" t="s">
        <v>1328</v>
      </c>
      <c r="N17" s="209"/>
    </row>
    <row r="18" spans="1:14" x14ac:dyDescent="0.2">
      <c r="A18" s="274"/>
      <c r="B18" s="209"/>
      <c r="C18" s="209"/>
      <c r="D18" s="209">
        <v>1</v>
      </c>
      <c r="E18" s="209"/>
      <c r="F18" s="210" t="s">
        <v>1329</v>
      </c>
      <c r="G18" s="211">
        <v>1</v>
      </c>
      <c r="H18" s="210" t="s">
        <v>262</v>
      </c>
      <c r="I18" s="210" t="s">
        <v>52</v>
      </c>
      <c r="J18" s="209" t="s">
        <v>1042</v>
      </c>
      <c r="K18" s="209" t="s">
        <v>1311</v>
      </c>
      <c r="L18" s="209" t="s">
        <v>1144</v>
      </c>
      <c r="N18" s="209"/>
    </row>
    <row r="19" spans="1:14" x14ac:dyDescent="0.2">
      <c r="A19" s="274"/>
      <c r="B19" s="209"/>
      <c r="C19" s="209"/>
      <c r="D19" s="209">
        <v>1</v>
      </c>
      <c r="E19" s="209"/>
      <c r="F19" s="210" t="s">
        <v>1330</v>
      </c>
      <c r="G19" s="211">
        <v>1</v>
      </c>
      <c r="H19" s="210" t="s">
        <v>264</v>
      </c>
      <c r="I19" s="210" t="s">
        <v>52</v>
      </c>
      <c r="J19" s="209" t="s">
        <v>1042</v>
      </c>
      <c r="K19" s="209" t="s">
        <v>1311</v>
      </c>
      <c r="L19" s="209" t="s">
        <v>1166</v>
      </c>
      <c r="N19" s="209"/>
    </row>
    <row r="20" spans="1:14" x14ac:dyDescent="0.2">
      <c r="A20" s="274"/>
      <c r="B20" s="209"/>
      <c r="C20" s="209"/>
      <c r="D20" s="209">
        <v>0</v>
      </c>
      <c r="E20" s="209"/>
      <c r="F20" s="210" t="s">
        <v>1331</v>
      </c>
      <c r="G20" s="211">
        <v>1</v>
      </c>
      <c r="H20" s="210" t="s">
        <v>1239</v>
      </c>
      <c r="I20" s="210" t="s">
        <v>1063</v>
      </c>
      <c r="J20" s="209" t="s">
        <v>1062</v>
      </c>
      <c r="K20" s="209" t="s">
        <v>1327</v>
      </c>
      <c r="L20" s="209" t="s">
        <v>1240</v>
      </c>
      <c r="M20" s="213" t="s">
        <v>1332</v>
      </c>
      <c r="N20" s="209"/>
    </row>
    <row r="21" spans="1:14" x14ac:dyDescent="0.2">
      <c r="A21" s="274">
        <v>0</v>
      </c>
      <c r="B21" s="209"/>
      <c r="C21" s="209"/>
      <c r="D21" s="209">
        <v>0.25</v>
      </c>
      <c r="E21" s="209"/>
      <c r="F21" s="295" t="s">
        <v>1330</v>
      </c>
      <c r="G21" s="211">
        <v>1</v>
      </c>
      <c r="H21" s="210" t="s">
        <v>266</v>
      </c>
      <c r="I21" s="210" t="s">
        <v>52</v>
      </c>
      <c r="J21" s="209" t="s">
        <v>1042</v>
      </c>
      <c r="K21" s="209" t="s">
        <v>1311</v>
      </c>
      <c r="L21" s="209" t="s">
        <v>1201</v>
      </c>
      <c r="M21" s="210"/>
      <c r="N21" s="209"/>
    </row>
    <row r="22" spans="1:14" x14ac:dyDescent="0.2">
      <c r="A22" s="274"/>
      <c r="B22" s="209"/>
      <c r="C22" s="209">
        <v>1</v>
      </c>
      <c r="D22" s="209"/>
      <c r="E22" s="209"/>
      <c r="F22" s="210" t="s">
        <v>1333</v>
      </c>
      <c r="G22" s="211">
        <v>1</v>
      </c>
      <c r="H22" s="210" t="s">
        <v>1231</v>
      </c>
      <c r="I22" s="210" t="s">
        <v>1054</v>
      </c>
      <c r="J22" s="209">
        <v>303715</v>
      </c>
      <c r="K22" s="209" t="s">
        <v>1327</v>
      </c>
      <c r="L22" s="218" t="s">
        <v>1232</v>
      </c>
      <c r="M22" s="220"/>
      <c r="N22" s="209"/>
    </row>
    <row r="23" spans="1:14" ht="15" x14ac:dyDescent="0.2">
      <c r="A23" s="274"/>
      <c r="B23" s="209"/>
      <c r="C23" s="209"/>
      <c r="D23" s="209">
        <v>1</v>
      </c>
      <c r="E23" s="209"/>
      <c r="F23" s="210" t="s">
        <v>1334</v>
      </c>
      <c r="G23" s="276">
        <v>1</v>
      </c>
      <c r="H23" s="210" t="s">
        <v>1146</v>
      </c>
      <c r="I23" s="210" t="s">
        <v>1074</v>
      </c>
      <c r="J23" s="209" t="s">
        <v>1121</v>
      </c>
      <c r="K23" s="212" t="s">
        <v>1309</v>
      </c>
      <c r="L23" s="209" t="s">
        <v>1147</v>
      </c>
      <c r="M23" s="213" t="s">
        <v>1335</v>
      </c>
      <c r="N23" s="209"/>
    </row>
    <row r="24" spans="1:14" x14ac:dyDescent="0.2">
      <c r="A24" s="274"/>
      <c r="B24" s="209"/>
      <c r="C24" s="209"/>
      <c r="D24" s="209">
        <v>0.5</v>
      </c>
      <c r="E24" s="209"/>
      <c r="F24" s="210" t="s">
        <v>1336</v>
      </c>
      <c r="G24" s="211">
        <v>1</v>
      </c>
      <c r="H24" s="210" t="s">
        <v>268</v>
      </c>
      <c r="I24" s="210" t="s">
        <v>52</v>
      </c>
      <c r="J24" s="209" t="s">
        <v>1042</v>
      </c>
      <c r="K24" s="209" t="s">
        <v>1311</v>
      </c>
      <c r="L24" s="209" t="s">
        <v>1219</v>
      </c>
      <c r="N24" s="209"/>
    </row>
    <row r="25" spans="1:14" x14ac:dyDescent="0.2">
      <c r="A25" s="274">
        <v>1</v>
      </c>
      <c r="B25" s="209"/>
      <c r="C25" s="209"/>
      <c r="D25" s="209">
        <v>0</v>
      </c>
      <c r="E25" s="209"/>
      <c r="F25" s="295" t="s">
        <v>1337</v>
      </c>
      <c r="G25" s="211">
        <v>1</v>
      </c>
      <c r="H25" s="210" t="s">
        <v>270</v>
      </c>
      <c r="I25" s="210" t="s">
        <v>52</v>
      </c>
      <c r="J25" s="209" t="s">
        <v>1042</v>
      </c>
      <c r="K25" s="209" t="s">
        <v>1311</v>
      </c>
      <c r="L25" s="209" t="s">
        <v>1221</v>
      </c>
      <c r="N25" s="209"/>
    </row>
    <row r="26" spans="1:14" x14ac:dyDescent="0.2">
      <c r="A26" s="274"/>
      <c r="B26" s="209"/>
      <c r="C26" s="209"/>
      <c r="D26" s="209">
        <v>0</v>
      </c>
      <c r="E26" s="209"/>
      <c r="F26" s="210" t="s">
        <v>1329</v>
      </c>
      <c r="G26" s="211">
        <v>1</v>
      </c>
      <c r="H26" s="210" t="s">
        <v>272</v>
      </c>
      <c r="I26" s="210" t="s">
        <v>52</v>
      </c>
      <c r="J26" s="209" t="s">
        <v>1042</v>
      </c>
      <c r="K26" s="209" t="s">
        <v>1311</v>
      </c>
      <c r="L26" s="209" t="s">
        <v>1247</v>
      </c>
      <c r="N26" s="209"/>
    </row>
    <row r="27" spans="1:14" x14ac:dyDescent="0.2">
      <c r="A27" s="274"/>
      <c r="B27" s="209"/>
      <c r="C27" s="209"/>
      <c r="D27" s="209">
        <v>1</v>
      </c>
      <c r="E27" s="209"/>
      <c r="F27" s="210" t="s">
        <v>1334</v>
      </c>
      <c r="G27" s="211">
        <v>1</v>
      </c>
      <c r="H27" s="210" t="s">
        <v>1183</v>
      </c>
      <c r="I27" s="210" t="s">
        <v>1074</v>
      </c>
      <c r="J27" s="209" t="s">
        <v>1121</v>
      </c>
      <c r="K27" s="212" t="s">
        <v>1309</v>
      </c>
      <c r="L27" s="209" t="s">
        <v>1184</v>
      </c>
      <c r="M27" s="213" t="s">
        <v>1335</v>
      </c>
      <c r="N27" s="209"/>
    </row>
    <row r="28" spans="1:14" x14ac:dyDescent="0.2">
      <c r="A28" s="274"/>
      <c r="B28" s="209"/>
      <c r="C28" s="209">
        <v>1</v>
      </c>
      <c r="D28" s="209"/>
      <c r="E28" s="209"/>
      <c r="F28" s="210" t="s">
        <v>1338</v>
      </c>
      <c r="G28" s="211">
        <v>1</v>
      </c>
      <c r="H28" s="210" t="s">
        <v>1262</v>
      </c>
      <c r="I28" s="210" t="s">
        <v>1054</v>
      </c>
      <c r="J28" s="209">
        <v>303715</v>
      </c>
      <c r="K28" s="209" t="s">
        <v>1327</v>
      </c>
      <c r="L28" s="218" t="s">
        <v>1263</v>
      </c>
      <c r="M28" s="220"/>
      <c r="N28" s="209"/>
    </row>
    <row r="29" spans="1:14" x14ac:dyDescent="0.2">
      <c r="A29" s="214"/>
      <c r="B29" s="215"/>
      <c r="C29" s="215">
        <v>1</v>
      </c>
      <c r="D29" s="215"/>
      <c r="E29" s="215"/>
      <c r="F29" s="210" t="s">
        <v>1322</v>
      </c>
      <c r="G29" s="216">
        <v>1</v>
      </c>
      <c r="H29" s="210" t="s">
        <v>274</v>
      </c>
      <c r="I29" s="210" t="s">
        <v>52</v>
      </c>
      <c r="J29" s="209">
        <v>303760</v>
      </c>
      <c r="K29" s="209" t="s">
        <v>1311</v>
      </c>
      <c r="L29" s="218" t="s">
        <v>1264</v>
      </c>
      <c r="N29" s="209"/>
    </row>
    <row r="30" spans="1:14" x14ac:dyDescent="0.2">
      <c r="A30" s="274"/>
      <c r="B30" s="209"/>
      <c r="C30" s="209"/>
      <c r="D30" s="209">
        <v>1</v>
      </c>
      <c r="E30" s="209"/>
      <c r="F30" s="210" t="s">
        <v>1339</v>
      </c>
      <c r="G30" s="211">
        <v>1</v>
      </c>
      <c r="H30" s="210" t="s">
        <v>324</v>
      </c>
      <c r="I30" s="210" t="s">
        <v>1030</v>
      </c>
      <c r="J30" s="209" t="s">
        <v>1029</v>
      </c>
      <c r="K30" s="209" t="s">
        <v>1311</v>
      </c>
      <c r="L30" s="209" t="s">
        <v>1031</v>
      </c>
      <c r="N30" s="209"/>
    </row>
    <row r="31" spans="1:14" x14ac:dyDescent="0.2">
      <c r="A31" s="214"/>
      <c r="B31" s="215">
        <v>1</v>
      </c>
      <c r="C31" s="215"/>
      <c r="D31" s="215"/>
      <c r="E31" s="215"/>
      <c r="F31" s="210" t="s">
        <v>1340</v>
      </c>
      <c r="G31" s="216">
        <v>1</v>
      </c>
      <c r="H31" s="210" t="s">
        <v>1073</v>
      </c>
      <c r="I31" s="210" t="s">
        <v>1074</v>
      </c>
      <c r="J31" s="209">
        <v>302303</v>
      </c>
      <c r="K31" s="209" t="s">
        <v>1309</v>
      </c>
      <c r="L31" s="218" t="s">
        <v>1075</v>
      </c>
      <c r="M31" s="213" t="s">
        <v>1341</v>
      </c>
      <c r="N31" s="209"/>
    </row>
    <row r="32" spans="1:14" x14ac:dyDescent="0.2">
      <c r="A32" s="274"/>
      <c r="B32" s="209"/>
      <c r="C32" s="209"/>
      <c r="D32" s="209">
        <f>0.75-0.5</f>
        <v>0.25</v>
      </c>
      <c r="E32" s="209"/>
      <c r="F32" s="210" t="s">
        <v>1342</v>
      </c>
      <c r="G32" s="211">
        <v>1</v>
      </c>
      <c r="H32" s="210" t="s">
        <v>326</v>
      </c>
      <c r="I32" s="210" t="s">
        <v>1030</v>
      </c>
      <c r="J32" s="209" t="s">
        <v>1029</v>
      </c>
      <c r="K32" s="209" t="s">
        <v>1311</v>
      </c>
      <c r="L32" s="209" t="s">
        <v>1033</v>
      </c>
      <c r="M32" s="213" t="s">
        <v>1343</v>
      </c>
      <c r="N32" s="209"/>
    </row>
    <row r="33" spans="1:14" x14ac:dyDescent="0.2">
      <c r="A33" s="274"/>
      <c r="B33" s="209"/>
      <c r="C33" s="209"/>
      <c r="D33" s="209">
        <v>0</v>
      </c>
      <c r="E33" s="209"/>
      <c r="F33" s="210" t="s">
        <v>1344</v>
      </c>
      <c r="G33" s="211">
        <v>1</v>
      </c>
      <c r="H33" s="210" t="s">
        <v>1131</v>
      </c>
      <c r="I33" s="210" t="s">
        <v>1054</v>
      </c>
      <c r="J33" s="209" t="s">
        <v>1053</v>
      </c>
      <c r="K33" s="209" t="s">
        <v>1327</v>
      </c>
      <c r="L33" s="209" t="s">
        <v>1132</v>
      </c>
      <c r="M33" s="213" t="s">
        <v>1332</v>
      </c>
      <c r="N33" s="209"/>
    </row>
    <row r="34" spans="1:14" x14ac:dyDescent="0.2">
      <c r="A34" s="274"/>
      <c r="B34" s="209"/>
      <c r="C34" s="209">
        <v>1</v>
      </c>
      <c r="D34" s="209"/>
      <c r="E34" s="209"/>
      <c r="F34" s="210" t="s">
        <v>1345</v>
      </c>
      <c r="G34" s="211">
        <v>1</v>
      </c>
      <c r="H34" s="275" t="s">
        <v>328</v>
      </c>
      <c r="I34" s="210" t="s">
        <v>1030</v>
      </c>
      <c r="J34" s="209">
        <v>303720</v>
      </c>
      <c r="K34" s="209" t="s">
        <v>1311</v>
      </c>
      <c r="L34" s="218" t="s">
        <v>1068</v>
      </c>
      <c r="M34" s="219" t="s">
        <v>1318</v>
      </c>
      <c r="N34" s="209"/>
    </row>
    <row r="35" spans="1:14" x14ac:dyDescent="0.2">
      <c r="A35" s="274"/>
      <c r="B35" s="209"/>
      <c r="C35" s="209"/>
      <c r="D35" s="209">
        <v>1</v>
      </c>
      <c r="E35" s="209"/>
      <c r="F35" s="210" t="s">
        <v>1339</v>
      </c>
      <c r="G35" s="211">
        <v>1</v>
      </c>
      <c r="H35" s="210" t="s">
        <v>330</v>
      </c>
      <c r="I35" s="210" t="s">
        <v>1030</v>
      </c>
      <c r="J35" s="209" t="s">
        <v>1029</v>
      </c>
      <c r="K35" s="209" t="s">
        <v>1311</v>
      </c>
      <c r="L35" s="209" t="s">
        <v>1145</v>
      </c>
      <c r="N35" s="209"/>
    </row>
    <row r="36" spans="1:14" x14ac:dyDescent="0.2">
      <c r="A36" s="274"/>
      <c r="B36" s="209"/>
      <c r="C36" s="209"/>
      <c r="D36" s="209">
        <v>1</v>
      </c>
      <c r="E36" s="209"/>
      <c r="F36" s="210" t="s">
        <v>1346</v>
      </c>
      <c r="G36" s="211">
        <v>1</v>
      </c>
      <c r="H36" s="210" t="s">
        <v>332</v>
      </c>
      <c r="I36" s="210" t="s">
        <v>1030</v>
      </c>
      <c r="J36" s="209" t="s">
        <v>1029</v>
      </c>
      <c r="K36" s="209" t="s">
        <v>1311</v>
      </c>
      <c r="L36" s="209" t="s">
        <v>1148</v>
      </c>
      <c r="N36" s="209"/>
    </row>
    <row r="37" spans="1:14" x14ac:dyDescent="0.2">
      <c r="A37" s="274">
        <v>1</v>
      </c>
      <c r="B37" s="209"/>
      <c r="C37" s="209"/>
      <c r="D37" s="209"/>
      <c r="E37" s="209"/>
      <c r="F37" s="210" t="s">
        <v>1347</v>
      </c>
      <c r="G37" s="211">
        <v>1</v>
      </c>
      <c r="H37" s="210" t="s">
        <v>333</v>
      </c>
      <c r="I37" s="210" t="s">
        <v>1030</v>
      </c>
      <c r="J37" s="209" t="s">
        <v>1029</v>
      </c>
      <c r="K37" s="209" t="s">
        <v>1311</v>
      </c>
      <c r="L37" s="209" t="s">
        <v>1162</v>
      </c>
      <c r="M37" s="210" t="s">
        <v>1316</v>
      </c>
      <c r="N37" s="209"/>
    </row>
    <row r="38" spans="1:14" x14ac:dyDescent="0.2">
      <c r="A38" s="274"/>
      <c r="B38" s="209"/>
      <c r="C38" s="209"/>
      <c r="D38" s="209">
        <v>1</v>
      </c>
      <c r="E38" s="209"/>
      <c r="F38" s="210" t="s">
        <v>1348</v>
      </c>
      <c r="G38" s="211">
        <v>1</v>
      </c>
      <c r="H38" s="210" t="s">
        <v>335</v>
      </c>
      <c r="I38" s="210" t="s">
        <v>1030</v>
      </c>
      <c r="J38" s="209" t="s">
        <v>1029</v>
      </c>
      <c r="K38" s="209" t="s">
        <v>1311</v>
      </c>
      <c r="L38" s="209" t="s">
        <v>1180</v>
      </c>
      <c r="N38" s="209"/>
    </row>
    <row r="39" spans="1:14" x14ac:dyDescent="0.2">
      <c r="A39" s="274"/>
      <c r="B39" s="209"/>
      <c r="C39" s="209"/>
      <c r="D39" s="209">
        <v>1</v>
      </c>
      <c r="E39" s="209"/>
      <c r="F39" s="210" t="s">
        <v>1339</v>
      </c>
      <c r="G39" s="211">
        <v>1</v>
      </c>
      <c r="H39" s="210" t="s">
        <v>336</v>
      </c>
      <c r="I39" s="210" t="s">
        <v>1030</v>
      </c>
      <c r="J39" s="209" t="s">
        <v>1029</v>
      </c>
      <c r="K39" s="209" t="s">
        <v>1311</v>
      </c>
      <c r="L39" s="209" t="s">
        <v>1230</v>
      </c>
      <c r="N39" s="209"/>
    </row>
    <row r="40" spans="1:14" x14ac:dyDescent="0.2">
      <c r="A40" s="274"/>
      <c r="B40" s="209"/>
      <c r="C40" s="209"/>
      <c r="D40" s="209">
        <v>0.95</v>
      </c>
      <c r="E40" s="209"/>
      <c r="F40" s="210" t="s">
        <v>1339</v>
      </c>
      <c r="G40" s="211">
        <v>1</v>
      </c>
      <c r="H40" s="210" t="s">
        <v>338</v>
      </c>
      <c r="I40" s="210" t="s">
        <v>1030</v>
      </c>
      <c r="J40" s="209" t="s">
        <v>1029</v>
      </c>
      <c r="K40" s="209" t="s">
        <v>1311</v>
      </c>
      <c r="L40" s="209" t="s">
        <v>1243</v>
      </c>
      <c r="M40" s="222" t="s">
        <v>1349</v>
      </c>
      <c r="N40" s="209"/>
    </row>
    <row r="41" spans="1:14" x14ac:dyDescent="0.2">
      <c r="A41" s="274"/>
      <c r="B41" s="209"/>
      <c r="C41" s="209"/>
      <c r="D41" s="209">
        <v>1</v>
      </c>
      <c r="E41" s="209"/>
      <c r="F41" s="210" t="s">
        <v>1350</v>
      </c>
      <c r="G41" s="211">
        <v>1</v>
      </c>
      <c r="H41" s="210" t="s">
        <v>1215</v>
      </c>
      <c r="I41" s="210" t="s">
        <v>1063</v>
      </c>
      <c r="J41" s="209" t="s">
        <v>1062</v>
      </c>
      <c r="K41" s="209" t="s">
        <v>1327</v>
      </c>
      <c r="L41" s="209" t="s">
        <v>1216</v>
      </c>
      <c r="N41" s="209"/>
    </row>
    <row r="42" spans="1:14" x14ac:dyDescent="0.2">
      <c r="A42" s="274"/>
      <c r="B42" s="209"/>
      <c r="C42" s="209"/>
      <c r="D42" s="209">
        <v>1</v>
      </c>
      <c r="E42" s="209"/>
      <c r="F42" s="210" t="s">
        <v>1351</v>
      </c>
      <c r="G42" s="211">
        <v>1</v>
      </c>
      <c r="H42" s="210" t="s">
        <v>1138</v>
      </c>
      <c r="I42" s="210" t="s">
        <v>1074</v>
      </c>
      <c r="J42" s="209" t="s">
        <v>1121</v>
      </c>
      <c r="K42" s="212" t="s">
        <v>1309</v>
      </c>
      <c r="L42" s="209" t="s">
        <v>1139</v>
      </c>
      <c r="M42" s="213" t="s">
        <v>1352</v>
      </c>
      <c r="N42" s="209"/>
    </row>
    <row r="43" spans="1:14" x14ac:dyDescent="0.2">
      <c r="A43" s="274"/>
      <c r="B43" s="209"/>
      <c r="C43" s="209"/>
      <c r="D43" s="209">
        <v>0.88</v>
      </c>
      <c r="E43" s="209"/>
      <c r="F43" s="210" t="s">
        <v>1342</v>
      </c>
      <c r="G43" s="211">
        <v>1</v>
      </c>
      <c r="H43" s="210" t="s">
        <v>340</v>
      </c>
      <c r="I43" s="210" t="s">
        <v>1030</v>
      </c>
      <c r="J43" s="209" t="s">
        <v>1029</v>
      </c>
      <c r="K43" s="209" t="s">
        <v>1311</v>
      </c>
      <c r="L43" s="209" t="s">
        <v>1272</v>
      </c>
      <c r="M43" s="213" t="s">
        <v>1353</v>
      </c>
      <c r="N43" s="209"/>
    </row>
    <row r="44" spans="1:14" x14ac:dyDescent="0.2">
      <c r="A44" s="274"/>
      <c r="B44" s="209"/>
      <c r="C44" s="209"/>
      <c r="D44" s="209">
        <v>0.75</v>
      </c>
      <c r="E44" s="209"/>
      <c r="F44" s="210" t="s">
        <v>1348</v>
      </c>
      <c r="G44" s="211">
        <v>1</v>
      </c>
      <c r="H44" s="210" t="s">
        <v>342</v>
      </c>
      <c r="I44" s="210" t="s">
        <v>1030</v>
      </c>
      <c r="J44" s="209" t="s">
        <v>1029</v>
      </c>
      <c r="K44" s="209" t="s">
        <v>1311</v>
      </c>
      <c r="L44" s="209" t="s">
        <v>1282</v>
      </c>
      <c r="M44" s="213" t="s">
        <v>1354</v>
      </c>
      <c r="N44" s="209"/>
    </row>
    <row r="45" spans="1:14" x14ac:dyDescent="0.2">
      <c r="A45" s="215"/>
      <c r="B45" s="215"/>
      <c r="C45" s="215"/>
      <c r="D45" s="215"/>
      <c r="E45" s="215"/>
      <c r="F45" s="210" t="s">
        <v>1355</v>
      </c>
      <c r="G45" s="216">
        <v>1</v>
      </c>
      <c r="H45" s="210" t="s">
        <v>344</v>
      </c>
      <c r="I45" s="210" t="s">
        <v>1054</v>
      </c>
      <c r="J45" s="209">
        <v>301715</v>
      </c>
      <c r="K45" s="209" t="s">
        <v>1327</v>
      </c>
      <c r="L45" s="221" t="s">
        <v>1356</v>
      </c>
      <c r="M45" s="213" t="s">
        <v>1357</v>
      </c>
      <c r="N45" s="209"/>
    </row>
    <row r="46" spans="1:14" x14ac:dyDescent="0.2">
      <c r="A46" s="274"/>
      <c r="B46" s="209"/>
      <c r="C46" s="209"/>
      <c r="D46" s="209">
        <v>1</v>
      </c>
      <c r="E46" s="209"/>
      <c r="F46" s="210" t="s">
        <v>1358</v>
      </c>
      <c r="G46" s="211">
        <v>1</v>
      </c>
      <c r="H46" s="210" t="s">
        <v>389</v>
      </c>
      <c r="I46" s="210" t="s">
        <v>54</v>
      </c>
      <c r="J46" s="209" t="s">
        <v>1044</v>
      </c>
      <c r="K46" s="209" t="s">
        <v>1311</v>
      </c>
      <c r="L46" s="209" t="s">
        <v>1045</v>
      </c>
      <c r="N46" s="209"/>
    </row>
    <row r="47" spans="1:14" x14ac:dyDescent="0.2">
      <c r="A47" s="274">
        <v>1</v>
      </c>
      <c r="B47" s="209"/>
      <c r="C47" s="209"/>
      <c r="D47" s="209"/>
      <c r="E47" s="209"/>
      <c r="F47" s="210" t="s">
        <v>1359</v>
      </c>
      <c r="G47" s="211">
        <v>1</v>
      </c>
      <c r="H47" s="210" t="s">
        <v>1260</v>
      </c>
      <c r="I47" s="210" t="s">
        <v>1054</v>
      </c>
      <c r="J47" s="209" t="s">
        <v>1053</v>
      </c>
      <c r="K47" s="209" t="s">
        <v>1327</v>
      </c>
      <c r="L47" s="209" t="s">
        <v>1261</v>
      </c>
      <c r="M47" s="213" t="s">
        <v>1360</v>
      </c>
      <c r="N47" s="209"/>
    </row>
    <row r="48" spans="1:14" x14ac:dyDescent="0.2">
      <c r="A48" s="274"/>
      <c r="B48" s="209"/>
      <c r="C48" s="209"/>
      <c r="D48" s="209">
        <v>1</v>
      </c>
      <c r="E48" s="209"/>
      <c r="F48" s="210" t="s">
        <v>1361</v>
      </c>
      <c r="G48" s="211">
        <v>1</v>
      </c>
      <c r="H48" s="210" t="s">
        <v>1211</v>
      </c>
      <c r="I48" s="210" t="s">
        <v>1054</v>
      </c>
      <c r="J48" s="209" t="s">
        <v>1053</v>
      </c>
      <c r="K48" s="209" t="s">
        <v>1327</v>
      </c>
      <c r="L48" s="209" t="s">
        <v>1212</v>
      </c>
      <c r="N48" s="209"/>
    </row>
    <row r="49" spans="1:14" x14ac:dyDescent="0.2">
      <c r="A49" s="274">
        <v>1</v>
      </c>
      <c r="B49" s="215"/>
      <c r="C49" s="215"/>
      <c r="D49" s="215"/>
      <c r="E49" s="215"/>
      <c r="F49" s="210" t="s">
        <v>1362</v>
      </c>
      <c r="G49" s="216">
        <v>1</v>
      </c>
      <c r="H49" s="210" t="s">
        <v>390</v>
      </c>
      <c r="I49" s="210" t="s">
        <v>54</v>
      </c>
      <c r="J49" s="209" t="s">
        <v>1044</v>
      </c>
      <c r="K49" s="209" t="s">
        <v>1311</v>
      </c>
      <c r="L49" s="209" t="s">
        <v>1168</v>
      </c>
      <c r="M49" s="222" t="s">
        <v>1363</v>
      </c>
      <c r="N49" s="209"/>
    </row>
    <row r="50" spans="1:14" x14ac:dyDescent="0.2">
      <c r="A50" s="274">
        <v>1</v>
      </c>
      <c r="B50" s="209"/>
      <c r="C50" s="209"/>
      <c r="D50" s="209"/>
      <c r="E50" s="209"/>
      <c r="F50" s="210" t="s">
        <v>1364</v>
      </c>
      <c r="G50" s="211">
        <v>1</v>
      </c>
      <c r="H50" s="210" t="s">
        <v>1234</v>
      </c>
      <c r="I50" s="210" t="s">
        <v>1074</v>
      </c>
      <c r="J50" s="209" t="s">
        <v>1121</v>
      </c>
      <c r="K50" s="212" t="s">
        <v>1309</v>
      </c>
      <c r="L50" s="209" t="s">
        <v>1235</v>
      </c>
      <c r="M50" s="210" t="s">
        <v>1365</v>
      </c>
      <c r="N50" s="209"/>
    </row>
    <row r="51" spans="1:14" x14ac:dyDescent="0.2">
      <c r="A51" s="214"/>
      <c r="B51" s="215"/>
      <c r="C51" s="215">
        <v>1</v>
      </c>
      <c r="D51" s="215"/>
      <c r="E51" s="215"/>
      <c r="F51" s="210" t="s">
        <v>1366</v>
      </c>
      <c r="G51" s="216">
        <v>1</v>
      </c>
      <c r="H51" s="210" t="s">
        <v>393</v>
      </c>
      <c r="I51" s="210" t="s">
        <v>54</v>
      </c>
      <c r="J51" s="209">
        <v>303781</v>
      </c>
      <c r="K51" s="209" t="s">
        <v>1311</v>
      </c>
      <c r="L51" s="218" t="s">
        <v>1278</v>
      </c>
      <c r="N51" s="209"/>
    </row>
    <row r="52" spans="1:14" x14ac:dyDescent="0.2">
      <c r="A52" s="215"/>
      <c r="B52" s="215"/>
      <c r="C52" s="215"/>
      <c r="D52" s="215">
        <v>1</v>
      </c>
      <c r="E52" s="215"/>
      <c r="F52" s="210" t="s">
        <v>1366</v>
      </c>
      <c r="G52" s="216">
        <v>1</v>
      </c>
      <c r="H52" s="210" t="s">
        <v>396</v>
      </c>
      <c r="I52" s="210" t="s">
        <v>54</v>
      </c>
      <c r="J52" s="209" t="s">
        <v>1044</v>
      </c>
      <c r="K52" s="209" t="s">
        <v>1311</v>
      </c>
      <c r="L52" s="209" t="s">
        <v>1279</v>
      </c>
      <c r="N52" s="209"/>
    </row>
    <row r="53" spans="1:14" x14ac:dyDescent="0.2">
      <c r="A53" s="274">
        <v>0.5</v>
      </c>
      <c r="B53" s="209"/>
      <c r="C53" s="209"/>
      <c r="D53" s="209">
        <v>0</v>
      </c>
      <c r="E53" s="209"/>
      <c r="F53" s="210" t="s">
        <v>1367</v>
      </c>
      <c r="G53" s="211">
        <v>1</v>
      </c>
      <c r="H53" s="210" t="s">
        <v>437</v>
      </c>
      <c r="I53" s="210" t="s">
        <v>1025</v>
      </c>
      <c r="J53" s="209" t="s">
        <v>1024</v>
      </c>
      <c r="K53" s="209" t="s">
        <v>1311</v>
      </c>
      <c r="L53" s="209" t="s">
        <v>1026</v>
      </c>
      <c r="N53" s="209"/>
    </row>
    <row r="54" spans="1:14" x14ac:dyDescent="0.2">
      <c r="A54" s="274">
        <v>1</v>
      </c>
      <c r="B54" s="209"/>
      <c r="C54" s="209"/>
      <c r="D54" s="209"/>
      <c r="E54" s="209"/>
      <c r="F54" s="210" t="s">
        <v>1368</v>
      </c>
      <c r="G54" s="211">
        <v>1</v>
      </c>
      <c r="H54" s="210" t="s">
        <v>1124</v>
      </c>
      <c r="I54" s="210" t="s">
        <v>1110</v>
      </c>
      <c r="J54" s="209" t="s">
        <v>1125</v>
      </c>
      <c r="K54" s="212" t="s">
        <v>1309</v>
      </c>
      <c r="L54" s="209" t="s">
        <v>1126</v>
      </c>
      <c r="M54" s="220" t="s">
        <v>1369</v>
      </c>
      <c r="N54" s="209"/>
    </row>
    <row r="55" spans="1:14" x14ac:dyDescent="0.2">
      <c r="A55" s="274"/>
      <c r="B55" s="209"/>
      <c r="C55" s="209"/>
      <c r="D55" s="209">
        <v>1</v>
      </c>
      <c r="E55" s="209"/>
      <c r="F55" s="210" t="s">
        <v>1370</v>
      </c>
      <c r="G55" s="211">
        <v>1</v>
      </c>
      <c r="H55" s="210" t="s">
        <v>439</v>
      </c>
      <c r="I55" s="210" t="s">
        <v>1025</v>
      </c>
      <c r="J55" s="209" t="s">
        <v>1024</v>
      </c>
      <c r="K55" s="209" t="s">
        <v>1311</v>
      </c>
      <c r="L55" s="209" t="s">
        <v>1089</v>
      </c>
      <c r="N55" s="209"/>
    </row>
    <row r="56" spans="1:14" x14ac:dyDescent="0.2">
      <c r="A56" s="274">
        <v>0.5</v>
      </c>
      <c r="B56" s="209"/>
      <c r="C56" s="209"/>
      <c r="D56" s="209">
        <v>0.5</v>
      </c>
      <c r="E56" s="209"/>
      <c r="F56" s="210" t="s">
        <v>1371</v>
      </c>
      <c r="G56" s="211">
        <v>1</v>
      </c>
      <c r="H56" s="210" t="s">
        <v>441</v>
      </c>
      <c r="I56" s="210" t="s">
        <v>1025</v>
      </c>
      <c r="J56" s="209" t="s">
        <v>1024</v>
      </c>
      <c r="K56" s="209" t="s">
        <v>1311</v>
      </c>
      <c r="L56" s="209" t="s">
        <v>1217</v>
      </c>
      <c r="M56" s="213" t="s">
        <v>1372</v>
      </c>
      <c r="N56" s="209"/>
    </row>
    <row r="57" spans="1:14" ht="15" x14ac:dyDescent="0.2">
      <c r="A57" s="274"/>
      <c r="B57" s="209"/>
      <c r="C57" s="209"/>
      <c r="D57" s="209">
        <v>1</v>
      </c>
      <c r="E57" s="209"/>
      <c r="F57" s="210" t="s">
        <v>1373</v>
      </c>
      <c r="G57" s="276">
        <v>1</v>
      </c>
      <c r="H57" s="210" t="s">
        <v>461</v>
      </c>
      <c r="I57" s="210" t="s">
        <v>56</v>
      </c>
      <c r="J57" s="209" t="s">
        <v>1086</v>
      </c>
      <c r="K57" s="209" t="s">
        <v>1311</v>
      </c>
      <c r="L57" s="209" t="s">
        <v>1087</v>
      </c>
      <c r="N57" s="209"/>
    </row>
    <row r="58" spans="1:14" x14ac:dyDescent="0.2">
      <c r="A58" s="274"/>
      <c r="B58" s="209"/>
      <c r="C58" s="209"/>
      <c r="D58" s="209">
        <v>1</v>
      </c>
      <c r="E58" s="209"/>
      <c r="F58" s="210" t="s">
        <v>1374</v>
      </c>
      <c r="G58" s="211">
        <v>1</v>
      </c>
      <c r="H58" s="210" t="s">
        <v>462</v>
      </c>
      <c r="I58" s="210" t="s">
        <v>56</v>
      </c>
      <c r="J58" s="209" t="s">
        <v>1086</v>
      </c>
      <c r="K58" s="209" t="s">
        <v>1311</v>
      </c>
      <c r="L58" s="209" t="s">
        <v>1102</v>
      </c>
      <c r="N58" s="209"/>
    </row>
    <row r="59" spans="1:14" x14ac:dyDescent="0.2">
      <c r="A59" s="274"/>
      <c r="B59" s="209"/>
      <c r="C59" s="209"/>
      <c r="D59" s="209">
        <v>1</v>
      </c>
      <c r="E59" s="209"/>
      <c r="F59" s="210" t="s">
        <v>1375</v>
      </c>
      <c r="G59" s="211">
        <v>1</v>
      </c>
      <c r="H59" s="210" t="s">
        <v>465</v>
      </c>
      <c r="I59" s="210" t="s">
        <v>56</v>
      </c>
      <c r="J59" s="209" t="s">
        <v>1086</v>
      </c>
      <c r="K59" s="209" t="s">
        <v>1311</v>
      </c>
      <c r="L59" s="209" t="s">
        <v>1106</v>
      </c>
      <c r="M59" s="222" t="s">
        <v>1349</v>
      </c>
      <c r="N59" s="209"/>
    </row>
    <row r="60" spans="1:14" x14ac:dyDescent="0.2">
      <c r="A60" s="274"/>
      <c r="B60" s="209"/>
      <c r="C60" s="209"/>
      <c r="D60" s="209">
        <v>1</v>
      </c>
      <c r="E60" s="209"/>
      <c r="F60" s="210" t="s">
        <v>1373</v>
      </c>
      <c r="G60" s="211">
        <v>1</v>
      </c>
      <c r="H60" s="210" t="s">
        <v>1155</v>
      </c>
      <c r="I60" s="210" t="s">
        <v>56</v>
      </c>
      <c r="J60" s="209" t="s">
        <v>1086</v>
      </c>
      <c r="K60" s="209" t="s">
        <v>1311</v>
      </c>
      <c r="L60" s="209" t="s">
        <v>1156</v>
      </c>
      <c r="N60" s="209"/>
    </row>
    <row r="61" spans="1:14" x14ac:dyDescent="0.2">
      <c r="A61" s="274"/>
      <c r="B61" s="209"/>
      <c r="C61" s="209"/>
      <c r="D61" s="209">
        <v>1</v>
      </c>
      <c r="E61" s="209"/>
      <c r="F61" s="210" t="s">
        <v>1334</v>
      </c>
      <c r="G61" s="211">
        <v>1</v>
      </c>
      <c r="H61" s="210" t="s">
        <v>1153</v>
      </c>
      <c r="I61" s="210" t="s">
        <v>1074</v>
      </c>
      <c r="J61" s="209" t="s">
        <v>1121</v>
      </c>
      <c r="K61" s="212" t="s">
        <v>1309</v>
      </c>
      <c r="L61" s="209" t="s">
        <v>1154</v>
      </c>
      <c r="N61" s="209"/>
    </row>
    <row r="62" spans="1:14" x14ac:dyDescent="0.2">
      <c r="A62" s="274">
        <v>1</v>
      </c>
      <c r="B62" s="209"/>
      <c r="C62" s="209"/>
      <c r="D62" s="209">
        <v>0</v>
      </c>
      <c r="E62" s="209"/>
      <c r="F62" s="210" t="s">
        <v>1376</v>
      </c>
      <c r="G62" s="211">
        <v>1</v>
      </c>
      <c r="H62" s="210" t="s">
        <v>466</v>
      </c>
      <c r="I62" s="210" t="s">
        <v>56</v>
      </c>
      <c r="J62" s="209" t="s">
        <v>1086</v>
      </c>
      <c r="K62" s="209" t="s">
        <v>1311</v>
      </c>
      <c r="L62" s="209" t="s">
        <v>1191</v>
      </c>
      <c r="N62" s="209"/>
    </row>
    <row r="63" spans="1:14" x14ac:dyDescent="0.2">
      <c r="A63" s="274">
        <v>1</v>
      </c>
      <c r="B63" s="209"/>
      <c r="C63" s="209"/>
      <c r="D63" s="209"/>
      <c r="E63" s="209"/>
      <c r="F63" s="210" t="s">
        <v>1377</v>
      </c>
      <c r="G63" s="211">
        <v>1</v>
      </c>
      <c r="H63" s="210" t="s">
        <v>1171</v>
      </c>
      <c r="I63" s="210" t="s">
        <v>1093</v>
      </c>
      <c r="J63" s="209" t="s">
        <v>1172</v>
      </c>
      <c r="K63" s="212" t="s">
        <v>1309</v>
      </c>
      <c r="L63" s="209" t="s">
        <v>1173</v>
      </c>
      <c r="M63" s="210" t="s">
        <v>1365</v>
      </c>
      <c r="N63" s="209"/>
    </row>
    <row r="64" spans="1:14" x14ac:dyDescent="0.2">
      <c r="A64" s="274"/>
      <c r="B64" s="209"/>
      <c r="C64" s="209"/>
      <c r="D64" s="209">
        <v>0.75</v>
      </c>
      <c r="E64" s="209"/>
      <c r="F64" s="210" t="s">
        <v>1342</v>
      </c>
      <c r="G64" s="211">
        <v>1</v>
      </c>
      <c r="H64" s="210" t="s">
        <v>468</v>
      </c>
      <c r="I64" s="210" t="s">
        <v>56</v>
      </c>
      <c r="J64" s="209" t="s">
        <v>1086</v>
      </c>
      <c r="K64" s="209" t="s">
        <v>1311</v>
      </c>
      <c r="L64" s="209" t="s">
        <v>1198</v>
      </c>
      <c r="M64" s="222" t="s">
        <v>1378</v>
      </c>
      <c r="N64" s="209"/>
    </row>
    <row r="65" spans="1:14" x14ac:dyDescent="0.2">
      <c r="A65" s="274">
        <v>0</v>
      </c>
      <c r="B65" s="209"/>
      <c r="C65" s="209"/>
      <c r="D65" s="209">
        <v>1</v>
      </c>
      <c r="E65" s="209"/>
      <c r="F65" s="210" t="s">
        <v>1379</v>
      </c>
      <c r="G65" s="211">
        <v>1</v>
      </c>
      <c r="H65" s="210" t="s">
        <v>471</v>
      </c>
      <c r="I65" s="210" t="s">
        <v>56</v>
      </c>
      <c r="J65" s="209" t="s">
        <v>1086</v>
      </c>
      <c r="K65" s="209" t="s">
        <v>1311</v>
      </c>
      <c r="L65" s="209" t="s">
        <v>1265</v>
      </c>
      <c r="M65" s="222" t="s">
        <v>1363</v>
      </c>
      <c r="N65" s="209"/>
    </row>
    <row r="66" spans="1:14" x14ac:dyDescent="0.2">
      <c r="A66" s="274"/>
      <c r="B66" s="209"/>
      <c r="C66" s="209"/>
      <c r="D66" s="209">
        <v>1</v>
      </c>
      <c r="E66" s="209"/>
      <c r="F66" s="210" t="s">
        <v>1373</v>
      </c>
      <c r="G66" s="211">
        <v>1</v>
      </c>
      <c r="H66" s="210" t="s">
        <v>474</v>
      </c>
      <c r="I66" s="210" t="s">
        <v>56</v>
      </c>
      <c r="J66" s="209" t="s">
        <v>1086</v>
      </c>
      <c r="K66" s="209" t="s">
        <v>1311</v>
      </c>
      <c r="L66" s="209" t="s">
        <v>1293</v>
      </c>
      <c r="N66" s="209"/>
    </row>
    <row r="67" spans="1:14" x14ac:dyDescent="0.2">
      <c r="A67" s="274"/>
      <c r="B67" s="209"/>
      <c r="C67" s="209"/>
      <c r="D67" s="209">
        <v>1</v>
      </c>
      <c r="E67" s="209"/>
      <c r="F67" s="210" t="s">
        <v>1380</v>
      </c>
      <c r="G67" s="211">
        <v>1</v>
      </c>
      <c r="H67" s="210" t="s">
        <v>42</v>
      </c>
      <c r="I67" s="210" t="s">
        <v>57</v>
      </c>
      <c r="J67" s="209" t="s">
        <v>1004</v>
      </c>
      <c r="K67" s="209" t="s">
        <v>1311</v>
      </c>
      <c r="L67" s="209" t="s">
        <v>1005</v>
      </c>
      <c r="M67" s="222" t="s">
        <v>1363</v>
      </c>
      <c r="N67" s="209"/>
    </row>
    <row r="68" spans="1:14" x14ac:dyDescent="0.2">
      <c r="A68" s="274"/>
      <c r="B68" s="209"/>
      <c r="C68" s="209"/>
      <c r="D68" s="209">
        <v>1</v>
      </c>
      <c r="E68" s="209"/>
      <c r="F68" s="210" t="s">
        <v>1381</v>
      </c>
      <c r="G68" s="211">
        <v>1</v>
      </c>
      <c r="H68" s="210" t="s">
        <v>492</v>
      </c>
      <c r="I68" s="210" t="s">
        <v>57</v>
      </c>
      <c r="J68" s="209" t="s">
        <v>1004</v>
      </c>
      <c r="K68" s="209" t="s">
        <v>1311</v>
      </c>
      <c r="L68" s="209" t="s">
        <v>1161</v>
      </c>
      <c r="N68" s="209"/>
    </row>
    <row r="69" spans="1:14" x14ac:dyDescent="0.2">
      <c r="A69" s="274"/>
      <c r="B69" s="209"/>
      <c r="C69" s="209"/>
      <c r="D69" s="209">
        <v>1</v>
      </c>
      <c r="E69" s="209"/>
      <c r="F69" s="210" t="s">
        <v>1382</v>
      </c>
      <c r="G69" s="211">
        <v>1</v>
      </c>
      <c r="H69" s="210" t="s">
        <v>494</v>
      </c>
      <c r="I69" s="210" t="s">
        <v>57</v>
      </c>
      <c r="J69" s="209" t="s">
        <v>1004</v>
      </c>
      <c r="K69" s="209" t="s">
        <v>1311</v>
      </c>
      <c r="L69" s="209" t="s">
        <v>1188</v>
      </c>
      <c r="N69" s="209"/>
    </row>
    <row r="70" spans="1:14" x14ac:dyDescent="0.2">
      <c r="A70" s="274"/>
      <c r="B70" s="209"/>
      <c r="C70" s="209"/>
      <c r="D70" s="209">
        <v>1</v>
      </c>
      <c r="E70" s="209"/>
      <c r="F70" s="210" t="s">
        <v>1383</v>
      </c>
      <c r="G70" s="211">
        <v>1</v>
      </c>
      <c r="H70" s="210" t="s">
        <v>1099</v>
      </c>
      <c r="I70" s="210" t="s">
        <v>1054</v>
      </c>
      <c r="J70" s="209" t="s">
        <v>1053</v>
      </c>
      <c r="K70" s="209" t="s">
        <v>1327</v>
      </c>
      <c r="L70" s="209" t="s">
        <v>1100</v>
      </c>
      <c r="N70" s="209"/>
    </row>
    <row r="71" spans="1:14" x14ac:dyDescent="0.2">
      <c r="A71" s="274"/>
      <c r="B71" s="209"/>
      <c r="C71" s="209"/>
      <c r="D71" s="209">
        <v>1</v>
      </c>
      <c r="E71" s="209"/>
      <c r="F71" s="210" t="s">
        <v>1381</v>
      </c>
      <c r="G71" s="211">
        <v>1</v>
      </c>
      <c r="H71" s="210" t="s">
        <v>1194</v>
      </c>
      <c r="I71" s="210" t="s">
        <v>57</v>
      </c>
      <c r="J71" s="209" t="s">
        <v>1004</v>
      </c>
      <c r="K71" s="209" t="s">
        <v>1311</v>
      </c>
      <c r="L71" s="209" t="s">
        <v>1195</v>
      </c>
      <c r="N71" s="209"/>
    </row>
    <row r="72" spans="1:14" x14ac:dyDescent="0.2">
      <c r="A72" s="274">
        <v>1</v>
      </c>
      <c r="B72" s="209"/>
      <c r="C72" s="209"/>
      <c r="D72" s="209"/>
      <c r="E72" s="209"/>
      <c r="F72" s="210" t="s">
        <v>1384</v>
      </c>
      <c r="G72" s="211">
        <v>1</v>
      </c>
      <c r="H72" s="210" t="s">
        <v>496</v>
      </c>
      <c r="I72" s="210" t="s">
        <v>57</v>
      </c>
      <c r="J72" s="209" t="s">
        <v>1004</v>
      </c>
      <c r="K72" s="209" t="s">
        <v>1311</v>
      </c>
      <c r="L72" s="209" t="s">
        <v>1268</v>
      </c>
      <c r="M72" s="213" t="s">
        <v>1385</v>
      </c>
      <c r="N72" s="209"/>
    </row>
    <row r="73" spans="1:14" x14ac:dyDescent="0.2">
      <c r="A73" s="274"/>
      <c r="B73" s="209"/>
      <c r="C73" s="209"/>
      <c r="D73" s="209">
        <v>1</v>
      </c>
      <c r="E73" s="209"/>
      <c r="F73" s="210" t="s">
        <v>1382</v>
      </c>
      <c r="G73" s="211">
        <v>1</v>
      </c>
      <c r="H73" s="210" t="s">
        <v>497</v>
      </c>
      <c r="I73" s="210" t="s">
        <v>57</v>
      </c>
      <c r="J73" s="209" t="s">
        <v>1004</v>
      </c>
      <c r="K73" s="209" t="s">
        <v>1311</v>
      </c>
      <c r="L73" s="209" t="s">
        <v>1274</v>
      </c>
      <c r="M73" s="213" t="s">
        <v>1386</v>
      </c>
      <c r="N73" s="209"/>
    </row>
    <row r="74" spans="1:14" x14ac:dyDescent="0.2">
      <c r="A74" s="215"/>
      <c r="B74" s="215"/>
      <c r="C74" s="215"/>
      <c r="D74" s="215"/>
      <c r="E74" s="215"/>
      <c r="F74" s="210" t="s">
        <v>1355</v>
      </c>
      <c r="G74" s="216">
        <v>1</v>
      </c>
      <c r="H74" s="269" t="s">
        <v>1387</v>
      </c>
      <c r="I74" s="269" t="s">
        <v>1388</v>
      </c>
      <c r="J74" s="209" t="s">
        <v>344</v>
      </c>
      <c r="K74" s="209" t="s">
        <v>1311</v>
      </c>
      <c r="L74" s="221" t="s">
        <v>1389</v>
      </c>
      <c r="M74" s="213" t="s">
        <v>1357</v>
      </c>
      <c r="N74" s="209"/>
    </row>
    <row r="75" spans="1:14" x14ac:dyDescent="0.2">
      <c r="A75" s="214"/>
      <c r="B75" s="215">
        <v>1</v>
      </c>
      <c r="C75" s="215"/>
      <c r="D75" s="215"/>
      <c r="E75" s="215"/>
      <c r="F75" s="210" t="s">
        <v>1390</v>
      </c>
      <c r="G75" s="216">
        <v>1</v>
      </c>
      <c r="H75" s="210" t="s">
        <v>1228</v>
      </c>
      <c r="I75" s="210" t="s">
        <v>1054</v>
      </c>
      <c r="J75" s="209">
        <v>301715</v>
      </c>
      <c r="K75" s="209" t="s">
        <v>1327</v>
      </c>
      <c r="L75" s="218" t="s">
        <v>1229</v>
      </c>
      <c r="M75" s="213" t="s">
        <v>1391</v>
      </c>
      <c r="N75" s="209"/>
    </row>
    <row r="76" spans="1:14" x14ac:dyDescent="0.2">
      <c r="A76" s="214"/>
      <c r="B76" s="215"/>
      <c r="C76" s="215"/>
      <c r="D76" s="215">
        <v>1</v>
      </c>
      <c r="E76" s="215"/>
      <c r="F76" s="210" t="s">
        <v>1392</v>
      </c>
      <c r="G76" s="216">
        <v>1</v>
      </c>
      <c r="H76" s="210" t="s">
        <v>1258</v>
      </c>
      <c r="I76" s="210" t="s">
        <v>1074</v>
      </c>
      <c r="J76" s="209">
        <v>302303</v>
      </c>
      <c r="K76" s="209" t="s">
        <v>1309</v>
      </c>
      <c r="L76" s="218" t="s">
        <v>1259</v>
      </c>
      <c r="N76" s="209"/>
    </row>
    <row r="77" spans="1:14" x14ac:dyDescent="0.2">
      <c r="A77" s="215"/>
      <c r="B77" s="215"/>
      <c r="C77" s="215"/>
      <c r="D77" s="215"/>
      <c r="E77" s="215"/>
      <c r="F77" s="210" t="s">
        <v>1355</v>
      </c>
      <c r="G77" s="216">
        <v>1</v>
      </c>
      <c r="H77" s="269" t="s">
        <v>1393</v>
      </c>
      <c r="I77" s="269" t="s">
        <v>1388</v>
      </c>
      <c r="J77" s="209" t="s">
        <v>344</v>
      </c>
      <c r="K77" s="209" t="s">
        <v>1311</v>
      </c>
      <c r="L77" s="221" t="s">
        <v>1394</v>
      </c>
      <c r="M77" s="213" t="s">
        <v>1357</v>
      </c>
      <c r="N77" s="209"/>
    </row>
    <row r="78" spans="1:14" x14ac:dyDescent="0.2">
      <c r="A78" s="215"/>
      <c r="B78" s="215"/>
      <c r="C78" s="215"/>
      <c r="D78" s="215"/>
      <c r="E78" s="215"/>
      <c r="F78" s="210" t="s">
        <v>1355</v>
      </c>
      <c r="G78" s="216">
        <v>1</v>
      </c>
      <c r="H78" s="210" t="s">
        <v>344</v>
      </c>
      <c r="I78" s="210" t="s">
        <v>1112</v>
      </c>
      <c r="J78" s="209">
        <v>302745</v>
      </c>
      <c r="K78" s="209" t="s">
        <v>1309</v>
      </c>
      <c r="L78" s="221" t="s">
        <v>1395</v>
      </c>
      <c r="M78" s="213" t="s">
        <v>1357</v>
      </c>
      <c r="N78" s="209"/>
    </row>
    <row r="79" spans="1:14" x14ac:dyDescent="0.2">
      <c r="A79" s="215"/>
      <c r="B79" s="215"/>
      <c r="C79" s="215"/>
      <c r="D79" s="215"/>
      <c r="E79" s="215"/>
      <c r="F79" s="210" t="s">
        <v>1355</v>
      </c>
      <c r="G79" s="216">
        <v>1</v>
      </c>
      <c r="H79" s="210" t="s">
        <v>344</v>
      </c>
      <c r="I79" s="210" t="s">
        <v>1112</v>
      </c>
      <c r="J79" s="209">
        <v>302745</v>
      </c>
      <c r="K79" s="209" t="s">
        <v>1309</v>
      </c>
      <c r="L79" s="221" t="s">
        <v>1396</v>
      </c>
      <c r="M79" s="213" t="s">
        <v>1357</v>
      </c>
      <c r="N79" s="209"/>
    </row>
    <row r="80" spans="1:14" x14ac:dyDescent="0.2">
      <c r="A80" s="215"/>
      <c r="B80" s="215"/>
      <c r="C80" s="215"/>
      <c r="D80" s="215">
        <v>0</v>
      </c>
      <c r="E80" s="215"/>
      <c r="G80" s="216">
        <v>1</v>
      </c>
      <c r="H80" s="210" t="s">
        <v>693</v>
      </c>
      <c r="I80" s="210" t="s">
        <v>66</v>
      </c>
      <c r="J80" s="209">
        <v>303740</v>
      </c>
      <c r="K80" s="209" t="s">
        <v>1311</v>
      </c>
      <c r="L80" s="209" t="s">
        <v>1164</v>
      </c>
      <c r="M80" s="213" t="s">
        <v>1397</v>
      </c>
      <c r="N80" s="209"/>
    </row>
    <row r="81" spans="1:14" x14ac:dyDescent="0.2">
      <c r="A81" s="215"/>
      <c r="B81" s="215"/>
      <c r="C81" s="215"/>
      <c r="D81" s="215"/>
      <c r="E81" s="215"/>
      <c r="F81" s="210" t="s">
        <v>1355</v>
      </c>
      <c r="G81" s="216">
        <v>1</v>
      </c>
      <c r="H81" s="210" t="s">
        <v>344</v>
      </c>
      <c r="I81" s="210" t="s">
        <v>1112</v>
      </c>
      <c r="J81" s="209">
        <v>302745</v>
      </c>
      <c r="K81" s="209" t="s">
        <v>1309</v>
      </c>
      <c r="L81" s="221" t="s">
        <v>1398</v>
      </c>
      <c r="M81" s="213" t="s">
        <v>1357</v>
      </c>
      <c r="N81" s="209"/>
    </row>
    <row r="82" spans="1:14" ht="15" x14ac:dyDescent="0.2">
      <c r="A82" s="274">
        <v>1</v>
      </c>
      <c r="B82" s="209"/>
      <c r="C82" s="209"/>
      <c r="D82" s="209"/>
      <c r="E82" s="209"/>
      <c r="F82" s="210" t="s">
        <v>1399</v>
      </c>
      <c r="G82" s="276">
        <v>1</v>
      </c>
      <c r="H82" s="210" t="s">
        <v>531</v>
      </c>
      <c r="I82" s="210" t="s">
        <v>60</v>
      </c>
      <c r="J82" s="209" t="s">
        <v>1020</v>
      </c>
      <c r="K82" s="209" t="s">
        <v>1311</v>
      </c>
      <c r="L82" s="209" t="s">
        <v>1021</v>
      </c>
      <c r="M82" s="213" t="s">
        <v>1365</v>
      </c>
      <c r="N82" s="209"/>
    </row>
    <row r="83" spans="1:14" x14ac:dyDescent="0.2">
      <c r="A83" s="274"/>
      <c r="B83" s="209"/>
      <c r="C83" s="209"/>
      <c r="D83" s="209">
        <v>0.875</v>
      </c>
      <c r="E83" s="209"/>
      <c r="F83" s="210" t="s">
        <v>1400</v>
      </c>
      <c r="G83" s="211">
        <v>1</v>
      </c>
      <c r="H83" s="210" t="s">
        <v>533</v>
      </c>
      <c r="I83" s="210" t="s">
        <v>60</v>
      </c>
      <c r="J83" s="209" t="s">
        <v>1020</v>
      </c>
      <c r="K83" s="209" t="s">
        <v>1311</v>
      </c>
      <c r="L83" s="209" t="s">
        <v>1040</v>
      </c>
      <c r="M83" s="213" t="s">
        <v>1401</v>
      </c>
      <c r="N83" s="209"/>
    </row>
    <row r="84" spans="1:14" x14ac:dyDescent="0.2">
      <c r="A84" s="274"/>
      <c r="B84" s="209"/>
      <c r="C84" s="209"/>
      <c r="D84" s="209">
        <v>1</v>
      </c>
      <c r="E84" s="209"/>
      <c r="F84" s="210" t="s">
        <v>1402</v>
      </c>
      <c r="G84" s="211">
        <v>1</v>
      </c>
      <c r="H84" s="210" t="s">
        <v>543</v>
      </c>
      <c r="I84" s="210" t="s">
        <v>60</v>
      </c>
      <c r="J84" s="209" t="s">
        <v>1020</v>
      </c>
      <c r="K84" s="209" t="s">
        <v>1311</v>
      </c>
      <c r="L84" s="209" t="s">
        <v>1049</v>
      </c>
      <c r="N84" s="209"/>
    </row>
    <row r="85" spans="1:14" x14ac:dyDescent="0.2">
      <c r="A85" s="274"/>
      <c r="B85" s="209"/>
      <c r="C85" s="209"/>
      <c r="D85" s="209">
        <v>1</v>
      </c>
      <c r="E85" s="209"/>
      <c r="F85" s="210" t="s">
        <v>1403</v>
      </c>
      <c r="G85" s="211">
        <v>1</v>
      </c>
      <c r="H85" s="210" t="s">
        <v>536</v>
      </c>
      <c r="I85" s="210" t="s">
        <v>60</v>
      </c>
      <c r="J85" s="209" t="s">
        <v>1020</v>
      </c>
      <c r="K85" s="209" t="s">
        <v>1311</v>
      </c>
      <c r="L85" s="209" t="s">
        <v>1083</v>
      </c>
      <c r="N85" s="209"/>
    </row>
    <row r="86" spans="1:14" x14ac:dyDescent="0.2">
      <c r="A86" s="274"/>
      <c r="B86" s="209"/>
      <c r="C86" s="209"/>
      <c r="D86" s="209">
        <v>1</v>
      </c>
      <c r="E86" s="209"/>
      <c r="F86" s="210" t="s">
        <v>1404</v>
      </c>
      <c r="G86" s="211">
        <v>1</v>
      </c>
      <c r="H86" s="210" t="s">
        <v>537</v>
      </c>
      <c r="I86" s="210" t="s">
        <v>60</v>
      </c>
      <c r="J86" s="209" t="s">
        <v>1020</v>
      </c>
      <c r="K86" s="209" t="s">
        <v>1311</v>
      </c>
      <c r="L86" s="209" t="s">
        <v>1176</v>
      </c>
      <c r="N86" s="209"/>
    </row>
    <row r="87" spans="1:14" x14ac:dyDescent="0.2">
      <c r="A87" s="274"/>
      <c r="B87" s="209"/>
      <c r="C87" s="209"/>
      <c r="D87" s="209">
        <v>1</v>
      </c>
      <c r="E87" s="209"/>
      <c r="F87" s="210" t="s">
        <v>1402</v>
      </c>
      <c r="G87" s="211">
        <v>1</v>
      </c>
      <c r="H87" s="210" t="s">
        <v>539</v>
      </c>
      <c r="I87" s="210" t="s">
        <v>60</v>
      </c>
      <c r="J87" s="209" t="s">
        <v>1020</v>
      </c>
      <c r="K87" s="209" t="s">
        <v>1311</v>
      </c>
      <c r="L87" s="209" t="s">
        <v>1177</v>
      </c>
      <c r="N87" s="209"/>
    </row>
    <row r="88" spans="1:14" x14ac:dyDescent="0.2">
      <c r="A88" s="274"/>
      <c r="B88" s="209"/>
      <c r="C88" s="209"/>
      <c r="D88" s="209">
        <v>1</v>
      </c>
      <c r="E88" s="209"/>
      <c r="F88" s="210" t="s">
        <v>1405</v>
      </c>
      <c r="G88" s="211">
        <v>1</v>
      </c>
      <c r="H88" s="210" t="s">
        <v>540</v>
      </c>
      <c r="I88" s="210" t="s">
        <v>60</v>
      </c>
      <c r="J88" s="209" t="s">
        <v>1020</v>
      </c>
      <c r="K88" s="209" t="s">
        <v>1311</v>
      </c>
      <c r="L88" s="209" t="s">
        <v>1226</v>
      </c>
      <c r="N88" s="209"/>
    </row>
    <row r="89" spans="1:14" x14ac:dyDescent="0.2">
      <c r="A89" s="274"/>
      <c r="B89" s="209"/>
      <c r="C89" s="209"/>
      <c r="D89" s="209">
        <v>1</v>
      </c>
      <c r="E89" s="209"/>
      <c r="F89" s="210" t="s">
        <v>1402</v>
      </c>
      <c r="G89" s="211">
        <v>1</v>
      </c>
      <c r="H89" s="210" t="s">
        <v>541</v>
      </c>
      <c r="I89" s="210" t="s">
        <v>60</v>
      </c>
      <c r="J89" s="209" t="s">
        <v>1020</v>
      </c>
      <c r="K89" s="209" t="s">
        <v>1311</v>
      </c>
      <c r="L89" s="209" t="s">
        <v>1283</v>
      </c>
      <c r="M89" s="222" t="s">
        <v>1349</v>
      </c>
      <c r="N89" s="209"/>
    </row>
    <row r="90" spans="1:14" x14ac:dyDescent="0.2">
      <c r="A90" s="215"/>
      <c r="B90" s="215"/>
      <c r="C90" s="215"/>
      <c r="D90" s="215">
        <v>0.125</v>
      </c>
      <c r="E90" s="215"/>
      <c r="F90" s="210" t="s">
        <v>1406</v>
      </c>
      <c r="G90" s="216">
        <v>0</v>
      </c>
      <c r="H90" s="210" t="s">
        <v>535</v>
      </c>
      <c r="I90" s="210" t="s">
        <v>1050</v>
      </c>
      <c r="J90" s="209">
        <v>303730</v>
      </c>
      <c r="K90" s="209" t="s">
        <v>1311</v>
      </c>
      <c r="L90" s="209" t="s">
        <v>1051</v>
      </c>
      <c r="M90" s="213" t="s">
        <v>1407</v>
      </c>
      <c r="N90" s="209"/>
    </row>
    <row r="91" spans="1:14" x14ac:dyDescent="0.2">
      <c r="A91" s="274">
        <v>1</v>
      </c>
      <c r="B91" s="209"/>
      <c r="C91" s="209"/>
      <c r="D91" s="209"/>
      <c r="E91" s="209"/>
      <c r="F91" s="210" t="s">
        <v>1408</v>
      </c>
      <c r="G91" s="211">
        <v>1</v>
      </c>
      <c r="H91" s="210" t="s">
        <v>572</v>
      </c>
      <c r="I91" s="210" t="s">
        <v>1037</v>
      </c>
      <c r="J91" s="209" t="s">
        <v>1036</v>
      </c>
      <c r="K91" s="209" t="s">
        <v>1311</v>
      </c>
      <c r="L91" s="209" t="s">
        <v>1038</v>
      </c>
      <c r="M91" s="213" t="s">
        <v>1365</v>
      </c>
      <c r="N91" s="209"/>
    </row>
    <row r="92" spans="1:14" x14ac:dyDescent="0.2">
      <c r="A92" s="274"/>
      <c r="B92" s="209"/>
      <c r="C92" s="209"/>
      <c r="D92" s="209">
        <v>1</v>
      </c>
      <c r="E92" s="209"/>
      <c r="F92" s="210" t="s">
        <v>1409</v>
      </c>
      <c r="G92" s="211">
        <v>1</v>
      </c>
      <c r="H92" s="210" t="s">
        <v>1159</v>
      </c>
      <c r="I92" s="210" t="s">
        <v>1037</v>
      </c>
      <c r="J92" s="209" t="s">
        <v>1036</v>
      </c>
      <c r="K92" s="209" t="s">
        <v>1311</v>
      </c>
      <c r="L92" s="209" t="s">
        <v>1160</v>
      </c>
      <c r="N92" s="209"/>
    </row>
    <row r="93" spans="1:14" x14ac:dyDescent="0.2">
      <c r="A93" s="209"/>
      <c r="B93" s="209"/>
      <c r="C93" s="209"/>
      <c r="D93" s="209">
        <v>0.875</v>
      </c>
      <c r="E93" s="209"/>
      <c r="F93" s="210" t="s">
        <v>1410</v>
      </c>
      <c r="G93" s="211">
        <v>1</v>
      </c>
      <c r="H93" s="210" t="s">
        <v>574</v>
      </c>
      <c r="I93" s="210" t="s">
        <v>1037</v>
      </c>
      <c r="J93" s="209" t="s">
        <v>1036</v>
      </c>
      <c r="K93" s="209" t="s">
        <v>1311</v>
      </c>
      <c r="L93" s="209" t="s">
        <v>1244</v>
      </c>
      <c r="M93" s="213" t="s">
        <v>1411</v>
      </c>
      <c r="N93" s="209"/>
    </row>
    <row r="94" spans="1:14" x14ac:dyDescent="0.2">
      <c r="A94" s="274"/>
      <c r="B94" s="209"/>
      <c r="C94" s="209"/>
      <c r="D94" s="209">
        <v>0.875</v>
      </c>
      <c r="E94" s="209"/>
      <c r="F94" s="210" t="s">
        <v>1319</v>
      </c>
      <c r="G94" s="211">
        <v>1</v>
      </c>
      <c r="H94" s="210" t="s">
        <v>577</v>
      </c>
      <c r="I94" s="210" t="s">
        <v>1037</v>
      </c>
      <c r="J94" s="209" t="s">
        <v>1036</v>
      </c>
      <c r="K94" s="209" t="s">
        <v>1311</v>
      </c>
      <c r="L94" s="209" t="s">
        <v>1252</v>
      </c>
      <c r="M94" s="213" t="s">
        <v>1411</v>
      </c>
      <c r="N94" s="209"/>
    </row>
    <row r="95" spans="1:14" x14ac:dyDescent="0.2">
      <c r="A95" s="274"/>
      <c r="B95" s="209"/>
      <c r="C95" s="209"/>
      <c r="D95" s="209">
        <v>1</v>
      </c>
      <c r="E95" s="209"/>
      <c r="F95" s="210" t="s">
        <v>1412</v>
      </c>
      <c r="G95" s="211">
        <v>1</v>
      </c>
      <c r="H95" s="210" t="s">
        <v>1245</v>
      </c>
      <c r="I95" s="210" t="s">
        <v>1054</v>
      </c>
      <c r="J95" s="209" t="s">
        <v>1053</v>
      </c>
      <c r="K95" s="209" t="s">
        <v>1327</v>
      </c>
      <c r="L95" s="209" t="s">
        <v>1246</v>
      </c>
      <c r="N95" s="209"/>
    </row>
    <row r="96" spans="1:14" x14ac:dyDescent="0.2">
      <c r="A96" s="274"/>
      <c r="B96" s="209"/>
      <c r="C96" s="209"/>
      <c r="D96" s="209">
        <v>0.5</v>
      </c>
      <c r="E96" s="209"/>
      <c r="F96" s="210" t="s">
        <v>1410</v>
      </c>
      <c r="G96" s="211">
        <v>1</v>
      </c>
      <c r="H96" s="210" t="s">
        <v>580</v>
      </c>
      <c r="I96" s="210" t="s">
        <v>1037</v>
      </c>
      <c r="J96" s="209" t="s">
        <v>1036</v>
      </c>
      <c r="K96" s="209" t="s">
        <v>1311</v>
      </c>
      <c r="L96" s="209" t="s">
        <v>1271</v>
      </c>
      <c r="M96" s="222" t="s">
        <v>1378</v>
      </c>
      <c r="N96" s="209"/>
    </row>
    <row r="97" spans="1:14" x14ac:dyDescent="0.2">
      <c r="A97" s="215"/>
      <c r="B97" s="215"/>
      <c r="C97" s="215"/>
      <c r="D97" s="215"/>
      <c r="E97" s="215"/>
      <c r="F97" s="210" t="s">
        <v>1355</v>
      </c>
      <c r="G97" s="216">
        <v>1</v>
      </c>
      <c r="H97" s="269" t="s">
        <v>344</v>
      </c>
      <c r="I97" s="210" t="s">
        <v>1037</v>
      </c>
      <c r="J97" s="209">
        <v>303767</v>
      </c>
      <c r="K97" s="209" t="s">
        <v>1311</v>
      </c>
      <c r="L97" s="221" t="s">
        <v>1413</v>
      </c>
      <c r="M97" s="213" t="s">
        <v>1357</v>
      </c>
      <c r="N97" s="209"/>
    </row>
    <row r="98" spans="1:14" x14ac:dyDescent="0.2">
      <c r="A98" s="274"/>
      <c r="B98" s="209"/>
      <c r="C98" s="209"/>
      <c r="D98" s="209">
        <v>0.5</v>
      </c>
      <c r="E98" s="209"/>
      <c r="F98" s="210" t="s">
        <v>1414</v>
      </c>
      <c r="G98" s="211">
        <v>1</v>
      </c>
      <c r="H98" s="210" t="s">
        <v>1275</v>
      </c>
      <c r="I98" s="210" t="s">
        <v>1063</v>
      </c>
      <c r="J98" s="209" t="s">
        <v>1062</v>
      </c>
      <c r="K98" s="209" t="s">
        <v>1327</v>
      </c>
      <c r="L98" s="209" t="s">
        <v>1276</v>
      </c>
      <c r="M98" s="213" t="s">
        <v>1415</v>
      </c>
      <c r="N98" s="209"/>
    </row>
    <row r="99" spans="1:14" x14ac:dyDescent="0.2">
      <c r="A99" s="274"/>
      <c r="B99" s="209"/>
      <c r="C99" s="209"/>
      <c r="D99" s="209">
        <v>0.75</v>
      </c>
      <c r="E99" s="209"/>
      <c r="F99" s="210" t="s">
        <v>1416</v>
      </c>
      <c r="G99" s="211">
        <v>1</v>
      </c>
      <c r="H99" s="210" t="s">
        <v>621</v>
      </c>
      <c r="I99" s="210" t="s">
        <v>1066</v>
      </c>
      <c r="J99" s="209" t="s">
        <v>1065</v>
      </c>
      <c r="K99" s="209" t="s">
        <v>1311</v>
      </c>
      <c r="L99" s="209" t="s">
        <v>1067</v>
      </c>
      <c r="M99" s="213" t="s">
        <v>1417</v>
      </c>
      <c r="N99" s="209"/>
    </row>
    <row r="100" spans="1:14" x14ac:dyDescent="0.2">
      <c r="A100" s="274">
        <v>1</v>
      </c>
      <c r="B100" s="209"/>
      <c r="C100" s="209"/>
      <c r="D100" s="209"/>
      <c r="E100" s="209"/>
      <c r="F100" s="210" t="s">
        <v>1418</v>
      </c>
      <c r="G100" s="211">
        <v>1</v>
      </c>
      <c r="H100" s="210" t="s">
        <v>623</v>
      </c>
      <c r="I100" s="210" t="s">
        <v>1066</v>
      </c>
      <c r="J100" s="209" t="s">
        <v>1065</v>
      </c>
      <c r="K100" s="209" t="s">
        <v>1311</v>
      </c>
      <c r="L100" s="209" t="s">
        <v>1104</v>
      </c>
      <c r="M100" s="210" t="s">
        <v>1419</v>
      </c>
      <c r="N100" s="209"/>
    </row>
    <row r="101" spans="1:14" x14ac:dyDescent="0.2">
      <c r="A101" s="274"/>
      <c r="B101" s="209"/>
      <c r="C101" s="209"/>
      <c r="D101" s="209">
        <v>1</v>
      </c>
      <c r="E101" s="209"/>
      <c r="F101" s="210" t="s">
        <v>1420</v>
      </c>
      <c r="G101" s="211">
        <v>1</v>
      </c>
      <c r="H101" s="210" t="s">
        <v>624</v>
      </c>
      <c r="I101" s="210" t="s">
        <v>1066</v>
      </c>
      <c r="J101" s="209" t="s">
        <v>1065</v>
      </c>
      <c r="K101" s="209" t="s">
        <v>1311</v>
      </c>
      <c r="L101" s="209" t="s">
        <v>1169</v>
      </c>
      <c r="N101" s="209"/>
    </row>
    <row r="102" spans="1:14" x14ac:dyDescent="0.2">
      <c r="A102" s="274"/>
      <c r="B102" s="209"/>
      <c r="C102" s="209"/>
      <c r="D102" s="209">
        <v>1</v>
      </c>
      <c r="E102" s="209"/>
      <c r="F102" s="210" t="s">
        <v>1421</v>
      </c>
      <c r="G102" s="211">
        <v>1</v>
      </c>
      <c r="H102" s="210" t="s">
        <v>625</v>
      </c>
      <c r="I102" s="210" t="s">
        <v>1066</v>
      </c>
      <c r="J102" s="209" t="s">
        <v>1065</v>
      </c>
      <c r="K102" s="209" t="s">
        <v>1311</v>
      </c>
      <c r="L102" s="209" t="s">
        <v>1192</v>
      </c>
      <c r="N102" s="209"/>
    </row>
    <row r="103" spans="1:14" x14ac:dyDescent="0.2">
      <c r="A103" s="215"/>
      <c r="B103" s="215"/>
      <c r="C103" s="215"/>
      <c r="D103" s="215"/>
      <c r="E103" s="215"/>
      <c r="F103" s="210" t="s">
        <v>1355</v>
      </c>
      <c r="G103" s="216">
        <v>1</v>
      </c>
      <c r="H103" s="269" t="s">
        <v>344</v>
      </c>
      <c r="I103" s="210" t="s">
        <v>1066</v>
      </c>
      <c r="J103" s="209">
        <v>303768</v>
      </c>
      <c r="K103" s="209" t="s">
        <v>1311</v>
      </c>
      <c r="L103" s="221" t="s">
        <v>1422</v>
      </c>
      <c r="M103" s="213" t="s">
        <v>1357</v>
      </c>
      <c r="N103" s="209"/>
    </row>
    <row r="104" spans="1:14" x14ac:dyDescent="0.2">
      <c r="A104" s="274"/>
      <c r="B104" s="209"/>
      <c r="C104" s="209"/>
      <c r="D104" s="209">
        <v>1</v>
      </c>
      <c r="E104" s="209"/>
      <c r="F104" s="210" t="s">
        <v>1423</v>
      </c>
      <c r="G104" s="211">
        <v>1</v>
      </c>
      <c r="H104" s="210" t="s">
        <v>643</v>
      </c>
      <c r="I104" s="210" t="s">
        <v>65</v>
      </c>
      <c r="J104" s="209" t="s">
        <v>1070</v>
      </c>
      <c r="K104" s="209" t="s">
        <v>1311</v>
      </c>
      <c r="L104" s="209" t="s">
        <v>1071</v>
      </c>
      <c r="N104" s="209"/>
    </row>
    <row r="105" spans="1:14" x14ac:dyDescent="0.2">
      <c r="A105" s="214"/>
      <c r="B105" s="215"/>
      <c r="C105" s="209">
        <v>1</v>
      </c>
      <c r="D105" s="215"/>
      <c r="E105" s="215"/>
      <c r="F105" s="210" t="s">
        <v>1423</v>
      </c>
      <c r="G105" s="216">
        <v>1</v>
      </c>
      <c r="H105" s="210" t="s">
        <v>645</v>
      </c>
      <c r="I105" s="210" t="s">
        <v>65</v>
      </c>
      <c r="J105" s="209">
        <v>303722</v>
      </c>
      <c r="K105" s="209" t="s">
        <v>1311</v>
      </c>
      <c r="L105" s="218" t="s">
        <v>1111</v>
      </c>
      <c r="N105" s="209"/>
    </row>
    <row r="106" spans="1:14" x14ac:dyDescent="0.2">
      <c r="A106" s="274">
        <v>1</v>
      </c>
      <c r="B106" s="209"/>
      <c r="C106" s="209"/>
      <c r="D106" s="209"/>
      <c r="E106" s="209"/>
      <c r="F106" s="210" t="s">
        <v>1424</v>
      </c>
      <c r="G106" s="211">
        <v>1</v>
      </c>
      <c r="H106" s="210" t="s">
        <v>647</v>
      </c>
      <c r="I106" s="210" t="s">
        <v>65</v>
      </c>
      <c r="J106" s="209" t="s">
        <v>1070</v>
      </c>
      <c r="K106" s="209" t="s">
        <v>1311</v>
      </c>
      <c r="L106" s="209" t="s">
        <v>1136</v>
      </c>
      <c r="M106" s="210" t="s">
        <v>1425</v>
      </c>
      <c r="N106" s="209"/>
    </row>
    <row r="107" spans="1:14" x14ac:dyDescent="0.2">
      <c r="A107" s="274"/>
      <c r="B107" s="209"/>
      <c r="C107" s="209"/>
      <c r="D107" s="209">
        <v>1</v>
      </c>
      <c r="E107" s="209"/>
      <c r="F107" s="210" t="s">
        <v>1423</v>
      </c>
      <c r="G107" s="211">
        <v>1</v>
      </c>
      <c r="H107" s="210" t="s">
        <v>649</v>
      </c>
      <c r="I107" s="210" t="s">
        <v>65</v>
      </c>
      <c r="J107" s="209" t="s">
        <v>1070</v>
      </c>
      <c r="K107" s="209" t="s">
        <v>1311</v>
      </c>
      <c r="L107" s="209" t="s">
        <v>1149</v>
      </c>
      <c r="N107" s="209"/>
    </row>
    <row r="108" spans="1:14" x14ac:dyDescent="0.2">
      <c r="A108" s="274"/>
      <c r="B108" s="209"/>
      <c r="C108" s="209"/>
      <c r="D108" s="209">
        <v>1</v>
      </c>
      <c r="E108" s="209"/>
      <c r="F108" s="210" t="s">
        <v>1426</v>
      </c>
      <c r="G108" s="211">
        <v>1</v>
      </c>
      <c r="H108" s="210" t="s">
        <v>651</v>
      </c>
      <c r="I108" s="210" t="s">
        <v>65</v>
      </c>
      <c r="J108" s="209" t="s">
        <v>1070</v>
      </c>
      <c r="K108" s="209" t="s">
        <v>1311</v>
      </c>
      <c r="L108" s="209" t="s">
        <v>1213</v>
      </c>
      <c r="M108" s="222" t="s">
        <v>1349</v>
      </c>
      <c r="N108" s="209"/>
    </row>
    <row r="109" spans="1:14" x14ac:dyDescent="0.2">
      <c r="A109" s="215"/>
      <c r="B109" s="215"/>
      <c r="C109" s="209"/>
      <c r="D109" s="215"/>
      <c r="E109" s="215"/>
      <c r="F109" s="210" t="s">
        <v>1355</v>
      </c>
      <c r="G109" s="216">
        <v>1</v>
      </c>
      <c r="H109" s="269" t="s">
        <v>344</v>
      </c>
      <c r="I109" s="210" t="s">
        <v>65</v>
      </c>
      <c r="J109" s="209">
        <v>303722</v>
      </c>
      <c r="K109" s="209" t="s">
        <v>1311</v>
      </c>
      <c r="L109" s="221" t="s">
        <v>1249</v>
      </c>
      <c r="M109" s="213" t="s">
        <v>1357</v>
      </c>
      <c r="N109" s="209"/>
    </row>
    <row r="110" spans="1:14" x14ac:dyDescent="0.2">
      <c r="A110" s="274">
        <v>1</v>
      </c>
      <c r="B110" s="209"/>
      <c r="C110" s="209"/>
      <c r="D110" s="209">
        <v>0</v>
      </c>
      <c r="E110" s="209"/>
      <c r="F110" s="210" t="s">
        <v>1427</v>
      </c>
      <c r="G110" s="211">
        <v>1</v>
      </c>
      <c r="H110" s="210" t="s">
        <v>1142</v>
      </c>
      <c r="I110" s="210" t="s">
        <v>1063</v>
      </c>
      <c r="J110" s="209" t="s">
        <v>1062</v>
      </c>
      <c r="K110" s="209" t="s">
        <v>1327</v>
      </c>
      <c r="L110" s="209" t="s">
        <v>1143</v>
      </c>
      <c r="M110" s="213" t="s">
        <v>1428</v>
      </c>
      <c r="N110" s="209"/>
    </row>
    <row r="111" spans="1:14" x14ac:dyDescent="0.2">
      <c r="A111" s="214"/>
      <c r="B111" s="215"/>
      <c r="C111" s="209"/>
      <c r="D111" s="215">
        <v>0.875</v>
      </c>
      <c r="E111" s="215"/>
      <c r="F111" s="210" t="s">
        <v>1429</v>
      </c>
      <c r="G111" s="216">
        <v>1</v>
      </c>
      <c r="H111" s="210" t="s">
        <v>1092</v>
      </c>
      <c r="I111" s="210" t="s">
        <v>1093</v>
      </c>
      <c r="J111" s="209">
        <v>302748</v>
      </c>
      <c r="K111" s="209" t="s">
        <v>1309</v>
      </c>
      <c r="L111" s="218" t="s">
        <v>1094</v>
      </c>
      <c r="M111" s="213" t="s">
        <v>1430</v>
      </c>
      <c r="N111" s="209"/>
    </row>
    <row r="112" spans="1:14" x14ac:dyDescent="0.2">
      <c r="A112" s="274"/>
      <c r="B112" s="209"/>
      <c r="C112" s="209"/>
      <c r="D112" s="209">
        <v>0.5</v>
      </c>
      <c r="E112" s="209"/>
      <c r="F112" s="210" t="s">
        <v>1431</v>
      </c>
      <c r="G112" s="211">
        <v>1</v>
      </c>
      <c r="H112" s="210" t="s">
        <v>1286</v>
      </c>
      <c r="I112" s="210" t="s">
        <v>1110</v>
      </c>
      <c r="J112" s="209" t="s">
        <v>1125</v>
      </c>
      <c r="K112" s="212" t="s">
        <v>1309</v>
      </c>
      <c r="L112" s="209" t="s">
        <v>1287</v>
      </c>
      <c r="M112" s="213" t="s">
        <v>1415</v>
      </c>
      <c r="N112" s="209"/>
    </row>
    <row r="113" spans="1:14" x14ac:dyDescent="0.2">
      <c r="A113" s="274"/>
      <c r="B113" s="209"/>
      <c r="C113" s="209"/>
      <c r="D113" s="209">
        <v>1</v>
      </c>
      <c r="E113" s="209"/>
      <c r="F113" s="210" t="s">
        <v>1308</v>
      </c>
      <c r="G113" s="211">
        <v>1</v>
      </c>
      <c r="H113" s="210" t="s">
        <v>1248</v>
      </c>
      <c r="I113" s="210" t="s">
        <v>1110</v>
      </c>
      <c r="J113" s="209" t="s">
        <v>1125</v>
      </c>
      <c r="K113" s="212" t="s">
        <v>1309</v>
      </c>
      <c r="L113" s="209" t="s">
        <v>1249</v>
      </c>
      <c r="M113" s="213" t="s">
        <v>1432</v>
      </c>
      <c r="N113" s="209"/>
    </row>
    <row r="114" spans="1:14" x14ac:dyDescent="0.2">
      <c r="A114" s="274"/>
      <c r="B114" s="209"/>
      <c r="C114" s="209"/>
      <c r="D114" s="209">
        <v>0.5</v>
      </c>
      <c r="E114" s="209"/>
      <c r="F114" s="210" t="s">
        <v>1433</v>
      </c>
      <c r="G114" s="211">
        <v>0.5</v>
      </c>
      <c r="H114" s="210" t="s">
        <v>1284</v>
      </c>
      <c r="I114" s="210" t="s">
        <v>65</v>
      </c>
      <c r="J114" s="209" t="s">
        <v>1070</v>
      </c>
      <c r="K114" s="209" t="s">
        <v>1311</v>
      </c>
      <c r="L114" s="209" t="s">
        <v>1285</v>
      </c>
      <c r="N114" s="209"/>
    </row>
    <row r="115" spans="1:14" x14ac:dyDescent="0.2">
      <c r="A115" s="274">
        <v>0</v>
      </c>
      <c r="B115" s="209"/>
      <c r="C115" s="209"/>
      <c r="D115" s="209">
        <v>1</v>
      </c>
      <c r="E115" s="209"/>
      <c r="F115" s="210" t="s">
        <v>1434</v>
      </c>
      <c r="G115" s="211">
        <v>1</v>
      </c>
      <c r="H115" s="210" t="s">
        <v>679</v>
      </c>
      <c r="I115" s="210" t="s">
        <v>66</v>
      </c>
      <c r="J115" s="209" t="s">
        <v>1059</v>
      </c>
      <c r="K115" s="209" t="s">
        <v>1311</v>
      </c>
      <c r="L115" s="209" t="s">
        <v>1060</v>
      </c>
      <c r="M115" s="210" t="s">
        <v>1435</v>
      </c>
      <c r="N115" s="209"/>
    </row>
    <row r="116" spans="1:14" x14ac:dyDescent="0.2">
      <c r="A116" s="274"/>
      <c r="B116" s="209"/>
      <c r="C116" s="209"/>
      <c r="D116" s="209">
        <v>0</v>
      </c>
      <c r="E116" s="209"/>
      <c r="F116" s="210" t="s">
        <v>1436</v>
      </c>
      <c r="G116" s="211">
        <v>1</v>
      </c>
      <c r="H116" s="210" t="s">
        <v>1117</v>
      </c>
      <c r="I116" s="210" t="s">
        <v>1054</v>
      </c>
      <c r="J116" s="209" t="s">
        <v>1053</v>
      </c>
      <c r="K116" s="209" t="s">
        <v>1327</v>
      </c>
      <c r="L116" s="209" t="s">
        <v>1118</v>
      </c>
      <c r="M116" s="213" t="s">
        <v>1332</v>
      </c>
      <c r="N116" s="209"/>
    </row>
    <row r="117" spans="1:14" x14ac:dyDescent="0.2">
      <c r="A117" s="274">
        <v>1</v>
      </c>
      <c r="B117" s="209"/>
      <c r="C117" s="209"/>
      <c r="D117" s="209">
        <v>0</v>
      </c>
      <c r="E117" s="209"/>
      <c r="F117" s="210" t="s">
        <v>1437</v>
      </c>
      <c r="G117" s="211">
        <v>1</v>
      </c>
      <c r="H117" s="210" t="s">
        <v>680</v>
      </c>
      <c r="I117" s="210" t="s">
        <v>66</v>
      </c>
      <c r="J117" s="209" t="s">
        <v>1059</v>
      </c>
      <c r="K117" s="209" t="s">
        <v>1311</v>
      </c>
      <c r="L117" s="209" t="s">
        <v>1081</v>
      </c>
      <c r="N117" s="209"/>
    </row>
    <row r="118" spans="1:14" x14ac:dyDescent="0.2">
      <c r="A118" s="215"/>
      <c r="B118" s="215"/>
      <c r="C118" s="209">
        <v>1</v>
      </c>
      <c r="D118" s="215"/>
      <c r="E118" s="215"/>
      <c r="F118" s="210" t="s">
        <v>1438</v>
      </c>
      <c r="G118" s="216">
        <v>1</v>
      </c>
      <c r="H118" s="210" t="s">
        <v>384</v>
      </c>
      <c r="I118" s="275" t="s">
        <v>1439</v>
      </c>
      <c r="J118" s="215" t="s">
        <v>1059</v>
      </c>
      <c r="K118" s="215" t="s">
        <v>1311</v>
      </c>
      <c r="L118" s="218" t="s">
        <v>1128</v>
      </c>
      <c r="M118" s="219" t="s">
        <v>1318</v>
      </c>
      <c r="N118" s="209"/>
    </row>
    <row r="119" spans="1:14" x14ac:dyDescent="0.2">
      <c r="A119" s="274"/>
      <c r="B119" s="209"/>
      <c r="C119" s="209"/>
      <c r="D119" s="209">
        <v>1</v>
      </c>
      <c r="E119" s="209"/>
      <c r="F119" s="210" t="s">
        <v>1440</v>
      </c>
      <c r="G119" s="211">
        <v>1</v>
      </c>
      <c r="H119" s="210" t="s">
        <v>682</v>
      </c>
      <c r="I119" s="210" t="s">
        <v>66</v>
      </c>
      <c r="J119" s="209" t="s">
        <v>1059</v>
      </c>
      <c r="K119" s="209" t="s">
        <v>1311</v>
      </c>
      <c r="L119" s="209" t="s">
        <v>1190</v>
      </c>
      <c r="N119" s="209"/>
    </row>
    <row r="120" spans="1:14" x14ac:dyDescent="0.2">
      <c r="A120" s="274"/>
      <c r="B120" s="209"/>
      <c r="C120" s="209"/>
      <c r="D120" s="209">
        <v>1</v>
      </c>
      <c r="E120" s="209"/>
      <c r="F120" s="210" t="s">
        <v>1441</v>
      </c>
      <c r="G120" s="211">
        <v>1</v>
      </c>
      <c r="H120" s="210" t="s">
        <v>684</v>
      </c>
      <c r="I120" s="210" t="s">
        <v>66</v>
      </c>
      <c r="J120" s="209" t="s">
        <v>1059</v>
      </c>
      <c r="K120" s="209" t="s">
        <v>1311</v>
      </c>
      <c r="L120" s="209" t="s">
        <v>1222</v>
      </c>
      <c r="N120" s="209"/>
    </row>
    <row r="121" spans="1:14" x14ac:dyDescent="0.2">
      <c r="A121" s="274"/>
      <c r="B121" s="209"/>
      <c r="C121" s="209"/>
      <c r="D121" s="209">
        <v>0.25</v>
      </c>
      <c r="E121" s="209"/>
      <c r="F121" s="210" t="s">
        <v>1442</v>
      </c>
      <c r="G121" s="211">
        <v>1</v>
      </c>
      <c r="H121" s="210" t="s">
        <v>1224</v>
      </c>
      <c r="I121" s="210" t="s">
        <v>66</v>
      </c>
      <c r="J121" s="209" t="s">
        <v>1059</v>
      </c>
      <c r="K121" s="209" t="s">
        <v>1311</v>
      </c>
      <c r="L121" s="209" t="s">
        <v>1225</v>
      </c>
      <c r="M121" s="213" t="s">
        <v>1443</v>
      </c>
      <c r="N121" s="209"/>
    </row>
    <row r="122" spans="1:14" x14ac:dyDescent="0.2">
      <c r="A122" s="274"/>
      <c r="B122" s="209"/>
      <c r="C122" s="209"/>
      <c r="D122" s="209">
        <v>1</v>
      </c>
      <c r="E122" s="209"/>
      <c r="F122" s="210" t="s">
        <v>1319</v>
      </c>
      <c r="G122" s="211">
        <v>1</v>
      </c>
      <c r="H122" s="210" t="s">
        <v>687</v>
      </c>
      <c r="I122" s="210" t="s">
        <v>66</v>
      </c>
      <c r="J122" s="209" t="s">
        <v>1059</v>
      </c>
      <c r="K122" s="209" t="s">
        <v>1311</v>
      </c>
      <c r="L122" s="209" t="s">
        <v>1236</v>
      </c>
      <c r="N122" s="209"/>
    </row>
    <row r="123" spans="1:14" x14ac:dyDescent="0.2">
      <c r="A123" s="274"/>
      <c r="B123" s="209"/>
      <c r="C123" s="209"/>
      <c r="D123" s="209">
        <v>1</v>
      </c>
      <c r="E123" s="209"/>
      <c r="F123" s="210" t="s">
        <v>1442</v>
      </c>
      <c r="G123" s="211">
        <v>1</v>
      </c>
      <c r="H123" s="210" t="s">
        <v>690</v>
      </c>
      <c r="I123" s="210" t="s">
        <v>66</v>
      </c>
      <c r="J123" s="209" t="s">
        <v>1059</v>
      </c>
      <c r="K123" s="209" t="s">
        <v>1311</v>
      </c>
      <c r="L123" s="209" t="s">
        <v>1238</v>
      </c>
      <c r="M123" s="222" t="s">
        <v>1378</v>
      </c>
      <c r="N123" s="209"/>
    </row>
    <row r="124" spans="1:14" x14ac:dyDescent="0.2">
      <c r="A124" s="274"/>
      <c r="B124" s="209"/>
      <c r="C124" s="209"/>
      <c r="D124" s="209">
        <v>1</v>
      </c>
      <c r="E124" s="209"/>
      <c r="F124" s="210" t="s">
        <v>1355</v>
      </c>
      <c r="G124" s="211">
        <v>1</v>
      </c>
      <c r="H124" s="210" t="s">
        <v>1052</v>
      </c>
      <c r="I124" s="210" t="s">
        <v>1054</v>
      </c>
      <c r="J124" s="209" t="s">
        <v>1053</v>
      </c>
      <c r="K124" s="209" t="s">
        <v>1327</v>
      </c>
      <c r="L124" s="209" t="s">
        <v>1055</v>
      </c>
      <c r="N124" s="209"/>
    </row>
    <row r="125" spans="1:14" x14ac:dyDescent="0.2">
      <c r="A125" s="274"/>
      <c r="B125" s="209"/>
      <c r="C125" s="209"/>
      <c r="D125" s="209">
        <v>1</v>
      </c>
      <c r="E125" s="209"/>
      <c r="F125" s="210" t="s">
        <v>1319</v>
      </c>
      <c r="G125" s="211">
        <v>1</v>
      </c>
      <c r="H125" s="210" t="s">
        <v>691</v>
      </c>
      <c r="I125" s="210" t="s">
        <v>66</v>
      </c>
      <c r="J125" s="209" t="s">
        <v>1059</v>
      </c>
      <c r="K125" s="209" t="s">
        <v>1311</v>
      </c>
      <c r="L125" s="209" t="s">
        <v>1253</v>
      </c>
      <c r="M125" s="222" t="s">
        <v>1378</v>
      </c>
      <c r="N125" s="209"/>
    </row>
    <row r="126" spans="1:14" x14ac:dyDescent="0.2">
      <c r="A126" s="215"/>
      <c r="B126" s="215"/>
      <c r="C126" s="209">
        <v>1</v>
      </c>
      <c r="D126" s="215"/>
      <c r="E126" s="215"/>
      <c r="F126" s="210" t="s">
        <v>1444</v>
      </c>
      <c r="G126" s="216">
        <v>1</v>
      </c>
      <c r="H126" s="210" t="s">
        <v>382</v>
      </c>
      <c r="I126" s="275" t="s">
        <v>1439</v>
      </c>
      <c r="J126" s="209">
        <v>303740</v>
      </c>
      <c r="K126" s="209" t="s">
        <v>1311</v>
      </c>
      <c r="L126" s="218" t="s">
        <v>1280</v>
      </c>
      <c r="M126" s="219" t="s">
        <v>1318</v>
      </c>
      <c r="N126" s="209"/>
    </row>
    <row r="127" spans="1:14" x14ac:dyDescent="0.2">
      <c r="A127" s="214"/>
      <c r="B127" s="215"/>
      <c r="C127" s="209"/>
      <c r="D127" s="215">
        <v>0</v>
      </c>
      <c r="E127" s="215"/>
      <c r="F127" s="210" t="s">
        <v>1445</v>
      </c>
      <c r="G127" s="216">
        <v>1</v>
      </c>
      <c r="H127" s="210" t="s">
        <v>704</v>
      </c>
      <c r="I127" s="210" t="s">
        <v>1056</v>
      </c>
      <c r="J127" s="209">
        <v>303750</v>
      </c>
      <c r="K127" s="209" t="s">
        <v>1311</v>
      </c>
      <c r="L127" s="218" t="s">
        <v>1057</v>
      </c>
      <c r="M127" s="213" t="s">
        <v>1446</v>
      </c>
      <c r="N127" s="209"/>
    </row>
    <row r="128" spans="1:14" x14ac:dyDescent="0.2">
      <c r="A128" s="274">
        <v>1</v>
      </c>
      <c r="B128" s="209"/>
      <c r="C128" s="209"/>
      <c r="D128" s="209"/>
      <c r="E128" s="209"/>
      <c r="F128" s="210" t="s">
        <v>1447</v>
      </c>
      <c r="G128" s="211">
        <v>1</v>
      </c>
      <c r="H128" s="210" t="s">
        <v>706</v>
      </c>
      <c r="I128" s="210" t="s">
        <v>1056</v>
      </c>
      <c r="J128" s="209" t="s">
        <v>1077</v>
      </c>
      <c r="K128" s="209" t="s">
        <v>1311</v>
      </c>
      <c r="L128" s="209" t="s">
        <v>1078</v>
      </c>
      <c r="M128" s="220" t="s">
        <v>1448</v>
      </c>
      <c r="N128" s="209"/>
    </row>
    <row r="129" spans="1:14" x14ac:dyDescent="0.2">
      <c r="A129" s="274"/>
      <c r="B129" s="209"/>
      <c r="C129" s="209"/>
      <c r="D129" s="209">
        <v>1</v>
      </c>
      <c r="E129" s="209"/>
      <c r="F129" s="210" t="s">
        <v>1449</v>
      </c>
      <c r="G129" s="211">
        <v>1</v>
      </c>
      <c r="H129" s="210" t="s">
        <v>707</v>
      </c>
      <c r="I129" s="210" t="s">
        <v>1056</v>
      </c>
      <c r="J129" s="209" t="s">
        <v>1077</v>
      </c>
      <c r="K129" s="209" t="s">
        <v>1311</v>
      </c>
      <c r="L129" s="209" t="s">
        <v>1157</v>
      </c>
      <c r="N129" s="209"/>
    </row>
    <row r="130" spans="1:14" x14ac:dyDescent="0.2">
      <c r="A130" s="274"/>
      <c r="B130" s="209"/>
      <c r="C130" s="209"/>
      <c r="D130" s="209">
        <v>1</v>
      </c>
      <c r="E130" s="209"/>
      <c r="F130" s="210" t="s">
        <v>1450</v>
      </c>
      <c r="G130" s="211">
        <v>1</v>
      </c>
      <c r="H130" s="210" t="s">
        <v>709</v>
      </c>
      <c r="I130" s="210" t="s">
        <v>1056</v>
      </c>
      <c r="J130" s="209" t="s">
        <v>1077</v>
      </c>
      <c r="K130" s="209" t="s">
        <v>1311</v>
      </c>
      <c r="L130" s="209" t="s">
        <v>1158</v>
      </c>
      <c r="N130" s="209"/>
    </row>
    <row r="131" spans="1:14" x14ac:dyDescent="0.2">
      <c r="A131" s="274"/>
      <c r="B131" s="209"/>
      <c r="C131" s="209"/>
      <c r="D131" s="209">
        <v>0.57499999999999996</v>
      </c>
      <c r="E131" s="209"/>
      <c r="F131" s="210" t="s">
        <v>1451</v>
      </c>
      <c r="G131" s="211">
        <v>1</v>
      </c>
      <c r="H131" s="210" t="s">
        <v>711</v>
      </c>
      <c r="I131" s="210" t="s">
        <v>1056</v>
      </c>
      <c r="J131" s="209" t="s">
        <v>1077</v>
      </c>
      <c r="K131" s="209" t="s">
        <v>1311</v>
      </c>
      <c r="L131" s="209" t="s">
        <v>1163</v>
      </c>
      <c r="M131" s="213" t="s">
        <v>1452</v>
      </c>
      <c r="N131" s="209"/>
    </row>
    <row r="132" spans="1:14" ht="15" x14ac:dyDescent="0.2">
      <c r="A132" s="274"/>
      <c r="B132" s="209"/>
      <c r="C132" s="209"/>
      <c r="D132" s="209">
        <v>1</v>
      </c>
      <c r="E132" s="209"/>
      <c r="F132" s="210" t="s">
        <v>1449</v>
      </c>
      <c r="G132" s="276">
        <v>1</v>
      </c>
      <c r="H132" s="210" t="s">
        <v>712</v>
      </c>
      <c r="I132" s="210" t="s">
        <v>1056</v>
      </c>
      <c r="J132" s="209" t="s">
        <v>1077</v>
      </c>
      <c r="K132" s="209" t="s">
        <v>1311</v>
      </c>
      <c r="L132" s="209" t="s">
        <v>1167</v>
      </c>
      <c r="N132" s="209"/>
    </row>
    <row r="133" spans="1:14" x14ac:dyDescent="0.2">
      <c r="A133" s="277"/>
      <c r="B133" s="209"/>
      <c r="C133" s="209"/>
      <c r="D133" s="209">
        <v>1</v>
      </c>
      <c r="E133" s="209"/>
      <c r="F133" s="210" t="s">
        <v>1449</v>
      </c>
      <c r="G133" s="211">
        <v>1</v>
      </c>
      <c r="H133" s="210" t="s">
        <v>714</v>
      </c>
      <c r="I133" s="210" t="s">
        <v>1056</v>
      </c>
      <c r="J133" s="209" t="s">
        <v>1077</v>
      </c>
      <c r="K133" s="209" t="s">
        <v>1311</v>
      </c>
      <c r="L133" s="209" t="s">
        <v>1175</v>
      </c>
      <c r="N133" s="209"/>
    </row>
    <row r="134" spans="1:14" x14ac:dyDescent="0.2">
      <c r="A134" s="274"/>
      <c r="B134" s="209"/>
      <c r="C134" s="209"/>
      <c r="D134" s="209">
        <v>0</v>
      </c>
      <c r="E134" s="209"/>
      <c r="F134" s="210" t="s">
        <v>1453</v>
      </c>
      <c r="G134" s="211">
        <v>1</v>
      </c>
      <c r="H134" s="210" t="s">
        <v>716</v>
      </c>
      <c r="I134" s="210" t="s">
        <v>1056</v>
      </c>
      <c r="J134" s="209" t="s">
        <v>1077</v>
      </c>
      <c r="K134" s="209" t="s">
        <v>1311</v>
      </c>
      <c r="L134" s="209" t="s">
        <v>1205</v>
      </c>
      <c r="N134" s="209"/>
    </row>
    <row r="135" spans="1:14" x14ac:dyDescent="0.2">
      <c r="A135" s="274"/>
      <c r="B135" s="209"/>
      <c r="C135" s="209"/>
      <c r="D135" s="209">
        <v>1</v>
      </c>
      <c r="E135" s="209"/>
      <c r="F135" s="210" t="s">
        <v>1454</v>
      </c>
      <c r="G135" s="211">
        <v>1</v>
      </c>
      <c r="H135" s="210" t="s">
        <v>718</v>
      </c>
      <c r="I135" s="210" t="s">
        <v>1056</v>
      </c>
      <c r="J135" s="209" t="s">
        <v>1077</v>
      </c>
      <c r="K135" s="209" t="s">
        <v>1311</v>
      </c>
      <c r="L135" s="209" t="s">
        <v>1223</v>
      </c>
      <c r="N135" s="209"/>
    </row>
    <row r="136" spans="1:14" x14ac:dyDescent="0.2">
      <c r="A136" s="274"/>
      <c r="B136" s="209"/>
      <c r="C136" s="209">
        <v>1</v>
      </c>
      <c r="D136" s="209"/>
      <c r="E136" s="209"/>
      <c r="F136" s="210" t="s">
        <v>1455</v>
      </c>
      <c r="G136" s="211">
        <v>1</v>
      </c>
      <c r="H136" s="210" t="s">
        <v>720</v>
      </c>
      <c r="I136" s="210" t="s">
        <v>1056</v>
      </c>
      <c r="J136" s="209">
        <v>303750</v>
      </c>
      <c r="K136" s="212" t="s">
        <v>1311</v>
      </c>
      <c r="L136" s="218" t="s">
        <v>1251</v>
      </c>
      <c r="M136" s="219" t="s">
        <v>1318</v>
      </c>
      <c r="N136" s="209"/>
    </row>
    <row r="137" spans="1:14" x14ac:dyDescent="0.2">
      <c r="A137" s="274"/>
      <c r="B137" s="209"/>
      <c r="C137" s="209"/>
      <c r="D137" s="209">
        <v>0.5</v>
      </c>
      <c r="E137" s="209"/>
      <c r="F137" s="210" t="s">
        <v>1456</v>
      </c>
      <c r="G137" s="211">
        <v>1</v>
      </c>
      <c r="H137" s="210" t="s">
        <v>722</v>
      </c>
      <c r="I137" s="210" t="s">
        <v>1056</v>
      </c>
      <c r="J137" s="209" t="s">
        <v>1077</v>
      </c>
      <c r="K137" s="209" t="s">
        <v>1311</v>
      </c>
      <c r="L137" s="209" t="s">
        <v>1290</v>
      </c>
      <c r="M137" s="213" t="s">
        <v>1457</v>
      </c>
      <c r="N137" s="209"/>
    </row>
    <row r="138" spans="1:14" x14ac:dyDescent="0.2">
      <c r="A138" s="274"/>
      <c r="B138" s="209"/>
      <c r="C138" s="209"/>
      <c r="D138" s="209">
        <v>1</v>
      </c>
      <c r="E138" s="209"/>
      <c r="F138" s="210" t="s">
        <v>1458</v>
      </c>
      <c r="G138" s="211">
        <v>1</v>
      </c>
      <c r="H138" s="210" t="s">
        <v>499</v>
      </c>
      <c r="I138" s="210" t="s">
        <v>58</v>
      </c>
      <c r="J138" s="209" t="s">
        <v>999</v>
      </c>
      <c r="K138" s="209" t="s">
        <v>1311</v>
      </c>
      <c r="L138" s="209" t="s">
        <v>1000</v>
      </c>
      <c r="N138" s="209"/>
    </row>
    <row r="139" spans="1:14" x14ac:dyDescent="0.2">
      <c r="A139" s="274"/>
      <c r="B139" s="209"/>
      <c r="C139" s="209"/>
      <c r="D139" s="209">
        <v>1</v>
      </c>
      <c r="E139" s="209"/>
      <c r="F139" s="210" t="s">
        <v>1458</v>
      </c>
      <c r="G139" s="211">
        <v>1</v>
      </c>
      <c r="H139" s="210" t="s">
        <v>501</v>
      </c>
      <c r="I139" s="210" t="s">
        <v>58</v>
      </c>
      <c r="J139" s="209" t="s">
        <v>999</v>
      </c>
      <c r="K139" s="209" t="s">
        <v>1311</v>
      </c>
      <c r="L139" s="209" t="s">
        <v>1277</v>
      </c>
      <c r="M139" s="222" t="s">
        <v>1349</v>
      </c>
      <c r="N139" s="209"/>
    </row>
    <row r="140" spans="1:14" x14ac:dyDescent="0.2">
      <c r="A140" s="274"/>
      <c r="B140" s="209"/>
      <c r="C140" s="209"/>
      <c r="D140" s="209">
        <v>1</v>
      </c>
      <c r="E140" s="209"/>
      <c r="F140" s="210" t="s">
        <v>1459</v>
      </c>
      <c r="G140" s="211">
        <v>1</v>
      </c>
      <c r="H140" s="210" t="s">
        <v>1291</v>
      </c>
      <c r="I140" s="210" t="s">
        <v>1054</v>
      </c>
      <c r="J140" s="209" t="s">
        <v>1053</v>
      </c>
      <c r="K140" s="209" t="s">
        <v>1327</v>
      </c>
      <c r="L140" s="209" t="s">
        <v>1292</v>
      </c>
      <c r="N140" s="209"/>
    </row>
    <row r="141" spans="1:14" x14ac:dyDescent="0.2">
      <c r="A141" s="214"/>
      <c r="B141" s="215"/>
      <c r="C141" s="209">
        <v>1</v>
      </c>
      <c r="D141" s="215"/>
      <c r="E141" s="215"/>
      <c r="F141" s="210" t="s">
        <v>1460</v>
      </c>
      <c r="G141" s="216">
        <v>1</v>
      </c>
      <c r="H141" s="210" t="s">
        <v>744</v>
      </c>
      <c r="I141" s="210" t="s">
        <v>68</v>
      </c>
      <c r="J141" s="209">
        <v>303721</v>
      </c>
      <c r="K141" s="209" t="s">
        <v>1311</v>
      </c>
      <c r="L141" s="218" t="s">
        <v>1072</v>
      </c>
      <c r="N141" s="209"/>
    </row>
    <row r="142" spans="1:14" x14ac:dyDescent="0.2">
      <c r="A142" s="214"/>
      <c r="B142" s="215"/>
      <c r="C142" s="209">
        <v>1</v>
      </c>
      <c r="D142" s="215"/>
      <c r="E142" s="215"/>
      <c r="F142" s="210" t="s">
        <v>1461</v>
      </c>
      <c r="G142" s="216">
        <v>1</v>
      </c>
      <c r="H142" s="210" t="s">
        <v>1090</v>
      </c>
      <c r="I142" s="210" t="s">
        <v>68</v>
      </c>
      <c r="J142" s="209">
        <v>303721</v>
      </c>
      <c r="K142" s="209" t="s">
        <v>1311</v>
      </c>
      <c r="L142" s="218" t="s">
        <v>1091</v>
      </c>
      <c r="N142" s="209"/>
    </row>
    <row r="143" spans="1:14" x14ac:dyDescent="0.2">
      <c r="A143" s="274"/>
      <c r="B143" s="209"/>
      <c r="C143" s="209">
        <v>1</v>
      </c>
      <c r="D143" s="209"/>
      <c r="E143" s="209"/>
      <c r="F143" s="210" t="s">
        <v>1460</v>
      </c>
      <c r="G143" s="211">
        <v>1</v>
      </c>
      <c r="H143" s="210" t="s">
        <v>748</v>
      </c>
      <c r="I143" s="210" t="s">
        <v>68</v>
      </c>
      <c r="J143" s="209">
        <v>303721</v>
      </c>
      <c r="K143" s="209" t="s">
        <v>1311</v>
      </c>
      <c r="L143" s="218" t="s">
        <v>1115</v>
      </c>
      <c r="N143" s="209"/>
    </row>
    <row r="144" spans="1:14" x14ac:dyDescent="0.2">
      <c r="A144" s="274"/>
      <c r="B144" s="209"/>
      <c r="C144" s="209"/>
      <c r="D144" s="209">
        <v>1</v>
      </c>
      <c r="E144" s="209"/>
      <c r="F144" s="210" t="s">
        <v>1462</v>
      </c>
      <c r="G144" s="211">
        <v>1</v>
      </c>
      <c r="H144" s="210" t="s">
        <v>1202</v>
      </c>
      <c r="I144" s="210" t="s">
        <v>1054</v>
      </c>
      <c r="J144" s="209" t="s">
        <v>1053</v>
      </c>
      <c r="K144" s="209" t="s">
        <v>1327</v>
      </c>
      <c r="L144" s="209" t="s">
        <v>1203</v>
      </c>
      <c r="N144" s="209"/>
    </row>
    <row r="145" spans="1:14" x14ac:dyDescent="0.2">
      <c r="A145" s="274"/>
      <c r="B145" s="209"/>
      <c r="C145" s="209"/>
      <c r="D145" s="209">
        <v>0.5</v>
      </c>
      <c r="E145" s="209"/>
      <c r="F145" s="210" t="s">
        <v>1463</v>
      </c>
      <c r="G145" s="211">
        <v>1</v>
      </c>
      <c r="H145" s="210" t="s">
        <v>750</v>
      </c>
      <c r="I145" s="210" t="s">
        <v>68</v>
      </c>
      <c r="J145" s="209" t="s">
        <v>1134</v>
      </c>
      <c r="K145" s="209" t="s">
        <v>1311</v>
      </c>
      <c r="L145" s="209" t="s">
        <v>1135</v>
      </c>
      <c r="N145" s="209"/>
    </row>
    <row r="146" spans="1:14" x14ac:dyDescent="0.2">
      <c r="A146" s="274"/>
      <c r="B146" s="209"/>
      <c r="C146" s="209"/>
      <c r="D146" s="209">
        <v>0</v>
      </c>
      <c r="E146" s="209"/>
      <c r="F146" s="210" t="s">
        <v>1464</v>
      </c>
      <c r="G146" s="211">
        <v>0</v>
      </c>
      <c r="H146" s="210" t="s">
        <v>1178</v>
      </c>
      <c r="K146" s="209" t="s">
        <v>1311</v>
      </c>
      <c r="M146" s="222" t="s">
        <v>1465</v>
      </c>
      <c r="N146" s="209"/>
    </row>
    <row r="147" spans="1:14" x14ac:dyDescent="0.2">
      <c r="A147" s="274">
        <v>1</v>
      </c>
      <c r="B147" s="209"/>
      <c r="C147" s="209"/>
      <c r="D147" s="209"/>
      <c r="E147" s="209"/>
      <c r="F147" s="210" t="s">
        <v>1466</v>
      </c>
      <c r="G147" s="211">
        <v>1</v>
      </c>
      <c r="H147" s="210" t="s">
        <v>752</v>
      </c>
      <c r="I147" s="210" t="s">
        <v>68</v>
      </c>
      <c r="J147" s="209" t="s">
        <v>1134</v>
      </c>
      <c r="K147" s="209" t="s">
        <v>1311</v>
      </c>
      <c r="L147" s="209" t="s">
        <v>1207</v>
      </c>
      <c r="M147" s="210" t="s">
        <v>1365</v>
      </c>
      <c r="N147" s="209"/>
    </row>
    <row r="148" spans="1:14" x14ac:dyDescent="0.2">
      <c r="A148" s="274"/>
      <c r="B148" s="209"/>
      <c r="C148" s="209"/>
      <c r="D148" s="209">
        <v>1</v>
      </c>
      <c r="E148" s="209"/>
      <c r="F148" s="210" t="s">
        <v>1334</v>
      </c>
      <c r="G148" s="211">
        <v>1</v>
      </c>
      <c r="H148" s="210" t="s">
        <v>1185</v>
      </c>
      <c r="I148" s="210" t="s">
        <v>1074</v>
      </c>
      <c r="J148" s="209" t="s">
        <v>1121</v>
      </c>
      <c r="K148" s="212" t="s">
        <v>1309</v>
      </c>
      <c r="L148" s="209" t="s">
        <v>1186</v>
      </c>
      <c r="N148" s="209"/>
    </row>
    <row r="149" spans="1:14" x14ac:dyDescent="0.2">
      <c r="A149" s="274"/>
      <c r="B149" s="209"/>
      <c r="C149" s="209"/>
      <c r="D149" s="209">
        <v>1</v>
      </c>
      <c r="E149" s="209"/>
      <c r="F149" s="210" t="s">
        <v>1460</v>
      </c>
      <c r="G149" s="211">
        <v>1</v>
      </c>
      <c r="H149" s="210" t="s">
        <v>1208</v>
      </c>
      <c r="I149" s="210" t="s">
        <v>68</v>
      </c>
      <c r="J149" s="209" t="s">
        <v>1134</v>
      </c>
      <c r="K149" s="209" t="s">
        <v>1311</v>
      </c>
      <c r="L149" s="209" t="s">
        <v>1209</v>
      </c>
      <c r="N149" s="209"/>
    </row>
    <row r="150" spans="1:14" x14ac:dyDescent="0.2">
      <c r="A150" s="274"/>
      <c r="B150" s="209"/>
      <c r="C150" s="209"/>
      <c r="D150" s="209">
        <v>1</v>
      </c>
      <c r="E150" s="209"/>
      <c r="F150" s="210" t="s">
        <v>1464</v>
      </c>
      <c r="G150" s="211">
        <v>1</v>
      </c>
      <c r="H150" s="210" t="s">
        <v>754</v>
      </c>
      <c r="I150" s="210" t="s">
        <v>68</v>
      </c>
      <c r="J150" s="209" t="s">
        <v>1134</v>
      </c>
      <c r="K150" s="209" t="s">
        <v>1311</v>
      </c>
      <c r="L150" s="209" t="s">
        <v>1220</v>
      </c>
      <c r="N150" s="209"/>
    </row>
    <row r="151" spans="1:14" x14ac:dyDescent="0.2">
      <c r="A151" s="215"/>
      <c r="B151" s="215"/>
      <c r="C151" s="209"/>
      <c r="D151" s="215"/>
      <c r="E151" s="215"/>
      <c r="F151" s="210" t="s">
        <v>1467</v>
      </c>
      <c r="G151" s="216">
        <v>1</v>
      </c>
      <c r="H151" s="269" t="s">
        <v>344</v>
      </c>
      <c r="I151" s="210" t="s">
        <v>68</v>
      </c>
      <c r="J151" s="209">
        <v>303721</v>
      </c>
      <c r="K151" s="209" t="s">
        <v>1311</v>
      </c>
      <c r="L151" s="221" t="s">
        <v>1468</v>
      </c>
      <c r="M151" s="213" t="s">
        <v>1357</v>
      </c>
      <c r="N151" s="209"/>
    </row>
    <row r="152" spans="1:14" x14ac:dyDescent="0.2">
      <c r="A152" s="274"/>
      <c r="B152" s="209"/>
      <c r="C152" s="209"/>
      <c r="D152" s="209">
        <v>1</v>
      </c>
      <c r="E152" s="209"/>
      <c r="F152" s="210" t="s">
        <v>1469</v>
      </c>
      <c r="G152" s="211">
        <v>1</v>
      </c>
      <c r="H152" s="210" t="s">
        <v>804</v>
      </c>
      <c r="I152" s="210" t="s">
        <v>69</v>
      </c>
      <c r="J152" s="209" t="s">
        <v>1079</v>
      </c>
      <c r="K152" s="209" t="s">
        <v>1311</v>
      </c>
      <c r="L152" s="209" t="s">
        <v>1080</v>
      </c>
      <c r="M152" s="222" t="s">
        <v>1363</v>
      </c>
      <c r="N152" s="209"/>
    </row>
    <row r="153" spans="1:14" x14ac:dyDescent="0.2">
      <c r="A153" s="274"/>
      <c r="B153" s="209"/>
      <c r="C153" s="209"/>
      <c r="D153" s="209">
        <v>1</v>
      </c>
      <c r="E153" s="209"/>
      <c r="F153" s="210" t="s">
        <v>1470</v>
      </c>
      <c r="G153" s="211">
        <v>1</v>
      </c>
      <c r="H153" s="210" t="s">
        <v>806</v>
      </c>
      <c r="I153" s="210" t="s">
        <v>69</v>
      </c>
      <c r="J153" s="209" t="s">
        <v>1079</v>
      </c>
      <c r="K153" s="209" t="s">
        <v>1311</v>
      </c>
      <c r="L153" s="209" t="s">
        <v>1085</v>
      </c>
      <c r="N153" s="209"/>
    </row>
    <row r="154" spans="1:14" x14ac:dyDescent="0.2">
      <c r="A154" s="274"/>
      <c r="B154" s="209"/>
      <c r="C154" s="209"/>
      <c r="D154" s="209">
        <v>1</v>
      </c>
      <c r="E154" s="209"/>
      <c r="F154" s="210" t="s">
        <v>1334</v>
      </c>
      <c r="G154" s="211">
        <v>1</v>
      </c>
      <c r="H154" s="210" t="s">
        <v>1151</v>
      </c>
      <c r="I154" s="210" t="s">
        <v>1074</v>
      </c>
      <c r="J154" s="209" t="s">
        <v>1121</v>
      </c>
      <c r="K154" s="212" t="s">
        <v>1309</v>
      </c>
      <c r="L154" s="209" t="s">
        <v>1152</v>
      </c>
      <c r="N154" s="209"/>
    </row>
    <row r="155" spans="1:14" x14ac:dyDescent="0.2">
      <c r="A155" s="215"/>
      <c r="B155" s="215"/>
      <c r="C155" s="209">
        <v>1</v>
      </c>
      <c r="D155" s="215"/>
      <c r="E155" s="215"/>
      <c r="F155" s="210" t="s">
        <v>1471</v>
      </c>
      <c r="G155" s="216">
        <v>1</v>
      </c>
      <c r="H155" s="210" t="s">
        <v>381</v>
      </c>
      <c r="I155" s="275" t="s">
        <v>1439</v>
      </c>
      <c r="J155" s="215">
        <v>303731</v>
      </c>
      <c r="K155" s="209" t="s">
        <v>1311</v>
      </c>
      <c r="L155" s="218" t="s">
        <v>1179</v>
      </c>
      <c r="M155" s="219" t="s">
        <v>1318</v>
      </c>
      <c r="N155" s="209"/>
    </row>
    <row r="156" spans="1:14" x14ac:dyDescent="0.2">
      <c r="A156" s="274">
        <v>0</v>
      </c>
      <c r="B156" s="209"/>
      <c r="C156" s="209"/>
      <c r="D156" s="209">
        <v>0.25</v>
      </c>
      <c r="E156" s="209"/>
      <c r="F156" s="210" t="s">
        <v>1472</v>
      </c>
      <c r="G156" s="211">
        <v>1</v>
      </c>
      <c r="H156" s="210" t="s">
        <v>266</v>
      </c>
      <c r="I156" s="210" t="s">
        <v>69</v>
      </c>
      <c r="J156" s="209">
        <v>303731</v>
      </c>
      <c r="K156" s="209" t="s">
        <v>1311</v>
      </c>
      <c r="L156" s="209" t="s">
        <v>1201</v>
      </c>
      <c r="M156" s="210"/>
      <c r="N156" s="209"/>
    </row>
    <row r="157" spans="1:14" x14ac:dyDescent="0.2">
      <c r="A157" s="274"/>
      <c r="B157" s="209"/>
      <c r="C157" s="209"/>
      <c r="D157" s="209">
        <v>1</v>
      </c>
      <c r="E157" s="209"/>
      <c r="F157" s="210" t="s">
        <v>1473</v>
      </c>
      <c r="G157" s="211">
        <v>1</v>
      </c>
      <c r="H157" s="210" t="s">
        <v>1108</v>
      </c>
      <c r="I157" s="210" t="s">
        <v>1054</v>
      </c>
      <c r="J157" s="209" t="s">
        <v>1053</v>
      </c>
      <c r="K157" s="209" t="s">
        <v>1327</v>
      </c>
      <c r="L157" s="209" t="s">
        <v>1109</v>
      </c>
      <c r="N157" s="209"/>
    </row>
    <row r="158" spans="1:14" x14ac:dyDescent="0.2">
      <c r="A158" s="274"/>
      <c r="B158" s="209"/>
      <c r="C158" s="209"/>
      <c r="D158" s="209">
        <v>1</v>
      </c>
      <c r="E158" s="209"/>
      <c r="F158" s="210" t="s">
        <v>1474</v>
      </c>
      <c r="G158" s="211">
        <v>1</v>
      </c>
      <c r="H158" s="210" t="s">
        <v>808</v>
      </c>
      <c r="I158" s="210" t="s">
        <v>69</v>
      </c>
      <c r="J158" s="209" t="s">
        <v>1079</v>
      </c>
      <c r="K158" s="209" t="s">
        <v>1311</v>
      </c>
      <c r="L158" s="209" t="s">
        <v>1214</v>
      </c>
      <c r="N158" s="209"/>
    </row>
    <row r="159" spans="1:14" x14ac:dyDescent="0.2">
      <c r="A159" s="274"/>
      <c r="B159" s="209"/>
      <c r="C159" s="209"/>
      <c r="D159" s="209">
        <v>1</v>
      </c>
      <c r="E159" s="209"/>
      <c r="F159" s="210" t="s">
        <v>1475</v>
      </c>
      <c r="G159" s="211">
        <v>1</v>
      </c>
      <c r="H159" s="210" t="s">
        <v>809</v>
      </c>
      <c r="I159" s="210" t="s">
        <v>69</v>
      </c>
      <c r="J159" s="209" t="s">
        <v>1079</v>
      </c>
      <c r="K159" s="209" t="s">
        <v>1311</v>
      </c>
      <c r="L159" s="209" t="s">
        <v>1233</v>
      </c>
      <c r="N159" s="209"/>
    </row>
    <row r="160" spans="1:14" x14ac:dyDescent="0.2">
      <c r="A160" s="215"/>
      <c r="B160" s="215"/>
      <c r="C160" s="209">
        <v>1</v>
      </c>
      <c r="D160" s="215"/>
      <c r="E160" s="215"/>
      <c r="F160" s="210" t="s">
        <v>1476</v>
      </c>
      <c r="G160" s="216">
        <v>1</v>
      </c>
      <c r="H160" s="210" t="s">
        <v>833</v>
      </c>
      <c r="I160" s="210" t="s">
        <v>74</v>
      </c>
      <c r="J160" s="209">
        <v>303785</v>
      </c>
      <c r="K160" s="209" t="s">
        <v>1311</v>
      </c>
      <c r="L160" s="218" t="s">
        <v>1182</v>
      </c>
      <c r="M160" s="219" t="s">
        <v>1318</v>
      </c>
      <c r="N160" s="209"/>
    </row>
    <row r="161" spans="1:14" x14ac:dyDescent="0.2">
      <c r="A161" s="215"/>
      <c r="B161" s="215"/>
      <c r="C161" s="209"/>
      <c r="D161" s="215">
        <v>1</v>
      </c>
      <c r="E161" s="215"/>
      <c r="F161" s="210" t="s">
        <v>1477</v>
      </c>
      <c r="G161" s="216">
        <v>1</v>
      </c>
      <c r="H161" s="210" t="s">
        <v>836</v>
      </c>
      <c r="I161" s="210" t="s">
        <v>74</v>
      </c>
      <c r="J161" s="209" t="s">
        <v>1288</v>
      </c>
      <c r="K161" s="209" t="s">
        <v>1311</v>
      </c>
      <c r="L161" s="209" t="s">
        <v>1289</v>
      </c>
      <c r="N161" s="209"/>
    </row>
    <row r="162" spans="1:14" x14ac:dyDescent="0.2">
      <c r="A162" s="215"/>
      <c r="B162" s="215"/>
      <c r="C162" s="209">
        <v>1</v>
      </c>
      <c r="D162" s="215"/>
      <c r="E162" s="215"/>
      <c r="F162" s="210" t="s">
        <v>1319</v>
      </c>
      <c r="G162" s="216">
        <v>1</v>
      </c>
      <c r="H162" s="210" t="s">
        <v>1009</v>
      </c>
      <c r="I162" s="210" t="s">
        <v>1010</v>
      </c>
      <c r="J162" s="209">
        <v>303769</v>
      </c>
      <c r="K162" s="209" t="s">
        <v>1311</v>
      </c>
      <c r="L162" s="218" t="s">
        <v>1011</v>
      </c>
      <c r="M162" s="219" t="s">
        <v>1318</v>
      </c>
      <c r="N162" s="209"/>
    </row>
    <row r="163" spans="1:14" x14ac:dyDescent="0.2">
      <c r="A163" s="274">
        <v>1</v>
      </c>
      <c r="B163" s="209"/>
      <c r="C163" s="209"/>
      <c r="D163" s="209"/>
      <c r="E163" s="209"/>
      <c r="F163" s="210" t="s">
        <v>1478</v>
      </c>
      <c r="G163" s="211">
        <v>1</v>
      </c>
      <c r="H163" s="210" t="s">
        <v>855</v>
      </c>
      <c r="I163" s="210" t="s">
        <v>1010</v>
      </c>
      <c r="J163" s="209" t="s">
        <v>1046</v>
      </c>
      <c r="K163" s="209" t="s">
        <v>1311</v>
      </c>
      <c r="L163" s="209" t="s">
        <v>1047</v>
      </c>
      <c r="M163" s="270" t="s">
        <v>1363</v>
      </c>
      <c r="N163" s="209"/>
    </row>
    <row r="164" spans="1:14" x14ac:dyDescent="0.2">
      <c r="A164" s="274"/>
      <c r="B164" s="209"/>
      <c r="C164" s="209"/>
      <c r="D164" s="209">
        <v>0.5</v>
      </c>
      <c r="E164" s="209"/>
      <c r="F164" s="210" t="s">
        <v>1319</v>
      </c>
      <c r="G164" s="211">
        <v>1</v>
      </c>
      <c r="H164" s="210" t="s">
        <v>858</v>
      </c>
      <c r="I164" s="210" t="s">
        <v>1010</v>
      </c>
      <c r="J164" s="209" t="s">
        <v>1046</v>
      </c>
      <c r="K164" s="209" t="s">
        <v>1311</v>
      </c>
      <c r="L164" s="209" t="s">
        <v>1165</v>
      </c>
      <c r="N164" s="209"/>
    </row>
    <row r="165" spans="1:14" x14ac:dyDescent="0.2">
      <c r="A165" s="274">
        <v>1</v>
      </c>
      <c r="B165" s="209"/>
      <c r="C165" s="209"/>
      <c r="D165" s="209">
        <v>0</v>
      </c>
      <c r="E165" s="209"/>
      <c r="F165" s="210" t="s">
        <v>1479</v>
      </c>
      <c r="G165" s="211">
        <v>1</v>
      </c>
      <c r="H165" s="210" t="s">
        <v>859</v>
      </c>
      <c r="I165" s="210" t="s">
        <v>1010</v>
      </c>
      <c r="J165" s="209" t="s">
        <v>1046</v>
      </c>
      <c r="K165" s="209" t="s">
        <v>1311</v>
      </c>
      <c r="L165" s="209" t="s">
        <v>1174</v>
      </c>
      <c r="N165" s="209"/>
    </row>
    <row r="166" spans="1:14" x14ac:dyDescent="0.2">
      <c r="A166" s="274"/>
      <c r="B166" s="209"/>
      <c r="C166" s="209"/>
      <c r="D166" s="209">
        <v>0.5</v>
      </c>
      <c r="E166" s="209"/>
      <c r="F166" s="210" t="s">
        <v>1480</v>
      </c>
      <c r="G166" s="211">
        <v>0.5</v>
      </c>
      <c r="H166" s="210" t="s">
        <v>862</v>
      </c>
      <c r="I166" s="210" t="s">
        <v>1010</v>
      </c>
      <c r="J166" s="209">
        <v>303769</v>
      </c>
      <c r="K166" s="212" t="s">
        <v>1311</v>
      </c>
      <c r="L166" s="209" t="s">
        <v>1189</v>
      </c>
      <c r="N166" s="209"/>
    </row>
    <row r="167" spans="1:14" x14ac:dyDescent="0.2">
      <c r="A167" s="274"/>
      <c r="B167" s="209"/>
      <c r="C167" s="209"/>
      <c r="D167" s="209">
        <v>1</v>
      </c>
      <c r="E167" s="209"/>
      <c r="F167" s="210" t="s">
        <v>1481</v>
      </c>
      <c r="G167" s="211">
        <v>1</v>
      </c>
      <c r="H167" s="210" t="s">
        <v>863</v>
      </c>
      <c r="I167" s="210" t="s">
        <v>1010</v>
      </c>
      <c r="J167" s="209" t="s">
        <v>1046</v>
      </c>
      <c r="K167" s="209" t="s">
        <v>1311</v>
      </c>
      <c r="L167" s="209" t="s">
        <v>1197</v>
      </c>
      <c r="N167" s="209"/>
    </row>
    <row r="168" spans="1:14" x14ac:dyDescent="0.2">
      <c r="A168" s="274"/>
      <c r="B168" s="209"/>
      <c r="C168" s="209"/>
      <c r="D168" s="209">
        <v>1</v>
      </c>
      <c r="E168" s="209"/>
      <c r="F168" s="210" t="s">
        <v>1319</v>
      </c>
      <c r="G168" s="211">
        <v>1</v>
      </c>
      <c r="H168" s="210" t="s">
        <v>883</v>
      </c>
      <c r="I168" s="210" t="s">
        <v>76</v>
      </c>
      <c r="J168" s="209" t="s">
        <v>1014</v>
      </c>
      <c r="K168" s="209" t="s">
        <v>1311</v>
      </c>
      <c r="L168" s="209" t="s">
        <v>1015</v>
      </c>
      <c r="N168" s="209"/>
    </row>
    <row r="169" spans="1:14" x14ac:dyDescent="0.2">
      <c r="A169" s="274"/>
      <c r="B169" s="209"/>
      <c r="C169" s="209"/>
      <c r="D169" s="209">
        <v>1</v>
      </c>
      <c r="E169" s="209"/>
      <c r="F169" s="210" t="s">
        <v>1482</v>
      </c>
      <c r="G169" s="211">
        <v>1</v>
      </c>
      <c r="H169" s="210" t="s">
        <v>885</v>
      </c>
      <c r="I169" s="210" t="s">
        <v>76</v>
      </c>
      <c r="J169" s="209" t="s">
        <v>1014</v>
      </c>
      <c r="K169" s="209" t="s">
        <v>1311</v>
      </c>
      <c r="L169" s="209" t="s">
        <v>1082</v>
      </c>
      <c r="N169" s="209"/>
    </row>
    <row r="170" spans="1:14" ht="15" x14ac:dyDescent="0.2">
      <c r="A170" s="274"/>
      <c r="B170" s="209"/>
      <c r="C170" s="209"/>
      <c r="D170" s="209">
        <v>1</v>
      </c>
      <c r="E170" s="209"/>
      <c r="F170" s="210" t="s">
        <v>1483</v>
      </c>
      <c r="G170" s="276">
        <v>1</v>
      </c>
      <c r="H170" s="210" t="s">
        <v>887</v>
      </c>
      <c r="I170" s="210" t="s">
        <v>76</v>
      </c>
      <c r="J170" s="209" t="s">
        <v>1014</v>
      </c>
      <c r="K170" s="209" t="s">
        <v>1311</v>
      </c>
      <c r="L170" s="209" t="s">
        <v>1137</v>
      </c>
      <c r="N170" s="209"/>
    </row>
    <row r="171" spans="1:14" x14ac:dyDescent="0.2">
      <c r="A171" s="214"/>
      <c r="B171" s="215">
        <v>1</v>
      </c>
      <c r="C171" s="209"/>
      <c r="D171" s="215"/>
      <c r="E171" s="215"/>
      <c r="F171" s="210" t="s">
        <v>1484</v>
      </c>
      <c r="G171" s="216">
        <v>1</v>
      </c>
      <c r="H171" s="210" t="s">
        <v>889</v>
      </c>
      <c r="I171" s="210" t="s">
        <v>76</v>
      </c>
      <c r="J171" s="209">
        <v>303735</v>
      </c>
      <c r="K171" s="217" t="s">
        <v>1311</v>
      </c>
      <c r="L171" s="218" t="s">
        <v>1170</v>
      </c>
      <c r="N171" s="209"/>
    </row>
    <row r="172" spans="1:14" x14ac:dyDescent="0.2">
      <c r="A172" s="274"/>
      <c r="B172" s="209"/>
      <c r="C172" s="209"/>
      <c r="D172" s="209">
        <v>0.88</v>
      </c>
      <c r="E172" s="209"/>
      <c r="F172" s="210" t="s">
        <v>1342</v>
      </c>
      <c r="G172" s="211">
        <v>1</v>
      </c>
      <c r="H172" s="210" t="s">
        <v>891</v>
      </c>
      <c r="I172" s="210" t="s">
        <v>76</v>
      </c>
      <c r="J172" s="209" t="s">
        <v>1014</v>
      </c>
      <c r="K172" s="209" t="s">
        <v>1311</v>
      </c>
      <c r="L172" s="209" t="s">
        <v>1187</v>
      </c>
      <c r="M172" s="213" t="s">
        <v>1485</v>
      </c>
      <c r="N172" s="209"/>
    </row>
    <row r="173" spans="1:14" ht="14.75" customHeight="1" x14ac:dyDescent="0.2">
      <c r="A173" s="274">
        <v>1</v>
      </c>
      <c r="B173" s="209"/>
      <c r="C173" s="209"/>
      <c r="D173" s="209"/>
      <c r="E173" s="209"/>
      <c r="F173" s="210" t="s">
        <v>1486</v>
      </c>
      <c r="G173" s="211">
        <v>1</v>
      </c>
      <c r="H173" s="210" t="s">
        <v>893</v>
      </c>
      <c r="I173" s="210" t="s">
        <v>76</v>
      </c>
      <c r="J173" s="209" t="s">
        <v>1014</v>
      </c>
      <c r="K173" s="209" t="s">
        <v>1311</v>
      </c>
      <c r="L173" s="218" t="s">
        <v>1196</v>
      </c>
      <c r="M173" s="210" t="s">
        <v>1365</v>
      </c>
      <c r="N173" s="209"/>
    </row>
    <row r="174" spans="1:14" x14ac:dyDescent="0.2">
      <c r="A174" s="274"/>
      <c r="B174" s="209"/>
      <c r="C174" s="209">
        <v>1</v>
      </c>
      <c r="D174" s="209"/>
      <c r="E174" s="209"/>
      <c r="F174" s="210" t="s">
        <v>1487</v>
      </c>
      <c r="G174" s="211">
        <v>1</v>
      </c>
      <c r="H174" s="210" t="s">
        <v>895</v>
      </c>
      <c r="I174" s="210" t="s">
        <v>76</v>
      </c>
      <c r="J174" s="209">
        <v>303735</v>
      </c>
      <c r="K174" s="209" t="s">
        <v>1311</v>
      </c>
      <c r="L174" s="218" t="s">
        <v>1204</v>
      </c>
      <c r="M174" s="219" t="s">
        <v>1318</v>
      </c>
      <c r="N174" s="209"/>
    </row>
    <row r="175" spans="1:14" x14ac:dyDescent="0.2">
      <c r="A175" s="274"/>
      <c r="B175" s="209"/>
      <c r="C175" s="209"/>
      <c r="D175" s="209">
        <v>0.47499999999999998</v>
      </c>
      <c r="E175" s="209"/>
      <c r="F175" s="210" t="s">
        <v>1484</v>
      </c>
      <c r="G175" s="211">
        <v>1</v>
      </c>
      <c r="H175" s="210" t="s">
        <v>897</v>
      </c>
      <c r="I175" s="210" t="s">
        <v>76</v>
      </c>
      <c r="J175" s="209" t="s">
        <v>1014</v>
      </c>
      <c r="K175" s="209" t="s">
        <v>1311</v>
      </c>
      <c r="L175" s="209" t="s">
        <v>1210</v>
      </c>
      <c r="M175" s="278" t="s">
        <v>1488</v>
      </c>
      <c r="N175" s="209"/>
    </row>
    <row r="176" spans="1:14" x14ac:dyDescent="0.2">
      <c r="A176" s="274"/>
      <c r="B176" s="209"/>
      <c r="C176" s="209"/>
      <c r="D176" s="209">
        <v>1</v>
      </c>
      <c r="E176" s="209"/>
      <c r="F176" s="210" t="s">
        <v>1483</v>
      </c>
      <c r="G176" s="211">
        <v>1</v>
      </c>
      <c r="H176" s="210" t="s">
        <v>899</v>
      </c>
      <c r="I176" s="210" t="s">
        <v>76</v>
      </c>
      <c r="J176" s="209" t="s">
        <v>1014</v>
      </c>
      <c r="K176" s="209" t="s">
        <v>1311</v>
      </c>
      <c r="L176" s="209" t="s">
        <v>1227</v>
      </c>
      <c r="N176" s="209"/>
    </row>
    <row r="177" spans="1:14" x14ac:dyDescent="0.2">
      <c r="A177" s="274"/>
      <c r="B177" s="209"/>
      <c r="C177" s="209"/>
      <c r="D177" s="209">
        <v>1</v>
      </c>
      <c r="E177" s="209"/>
      <c r="F177" s="210" t="s">
        <v>1489</v>
      </c>
      <c r="G177" s="211">
        <v>1</v>
      </c>
      <c r="H177" s="210" t="s">
        <v>901</v>
      </c>
      <c r="I177" s="210" t="s">
        <v>76</v>
      </c>
      <c r="J177" s="209" t="s">
        <v>1014</v>
      </c>
      <c r="K177" s="209" t="s">
        <v>1311</v>
      </c>
      <c r="L177" s="209" t="s">
        <v>1266</v>
      </c>
      <c r="N177" s="209"/>
    </row>
    <row r="178" spans="1:14" x14ac:dyDescent="0.2">
      <c r="A178" s="274"/>
      <c r="B178" s="209"/>
      <c r="C178" s="209"/>
      <c r="D178" s="209">
        <v>0.47499999999999998</v>
      </c>
      <c r="E178" s="209"/>
      <c r="F178" s="210" t="s">
        <v>1484</v>
      </c>
      <c r="G178" s="211">
        <v>1</v>
      </c>
      <c r="H178" s="210" t="s">
        <v>903</v>
      </c>
      <c r="I178" s="210" t="s">
        <v>76</v>
      </c>
      <c r="J178" s="209" t="s">
        <v>1014</v>
      </c>
      <c r="K178" s="209" t="s">
        <v>1311</v>
      </c>
      <c r="L178" s="209" t="s">
        <v>1267</v>
      </c>
      <c r="M178" s="213" t="s">
        <v>1490</v>
      </c>
      <c r="N178" s="209"/>
    </row>
    <row r="179" spans="1:14" x14ac:dyDescent="0.2">
      <c r="A179" s="274"/>
      <c r="B179" s="209"/>
      <c r="C179" s="209"/>
      <c r="D179" s="209">
        <v>1</v>
      </c>
      <c r="E179" s="209"/>
      <c r="F179" s="210" t="s">
        <v>1483</v>
      </c>
      <c r="G179" s="211">
        <v>1</v>
      </c>
      <c r="H179" s="210" t="s">
        <v>905</v>
      </c>
      <c r="I179" s="210" t="s">
        <v>76</v>
      </c>
      <c r="J179" s="209" t="s">
        <v>1014</v>
      </c>
      <c r="K179" s="209" t="s">
        <v>1311</v>
      </c>
      <c r="L179" s="209" t="s">
        <v>1273</v>
      </c>
      <c r="N179" s="209"/>
    </row>
    <row r="180" spans="1:14" x14ac:dyDescent="0.2">
      <c r="A180" s="274"/>
      <c r="B180" s="209"/>
      <c r="C180" s="209"/>
      <c r="D180" s="209">
        <v>1</v>
      </c>
      <c r="E180" s="209"/>
      <c r="F180" s="210" t="s">
        <v>1483</v>
      </c>
      <c r="G180" s="211">
        <v>1</v>
      </c>
      <c r="H180" s="210" t="s">
        <v>907</v>
      </c>
      <c r="I180" s="210" t="s">
        <v>76</v>
      </c>
      <c r="J180" s="209" t="s">
        <v>1014</v>
      </c>
      <c r="K180" s="209" t="s">
        <v>1311</v>
      </c>
      <c r="L180" s="209" t="s">
        <v>1281</v>
      </c>
      <c r="N180" s="209"/>
    </row>
    <row r="181" spans="1:14" x14ac:dyDescent="0.2">
      <c r="A181" s="274"/>
      <c r="B181" s="209"/>
      <c r="C181" s="209"/>
      <c r="D181" s="209">
        <v>1</v>
      </c>
      <c r="E181" s="209"/>
      <c r="F181" s="210" t="s">
        <v>1489</v>
      </c>
      <c r="G181" s="211">
        <v>1</v>
      </c>
      <c r="H181" s="210" t="s">
        <v>909</v>
      </c>
      <c r="I181" s="210" t="s">
        <v>76</v>
      </c>
      <c r="J181" s="209" t="s">
        <v>1014</v>
      </c>
      <c r="K181" s="209" t="s">
        <v>1311</v>
      </c>
      <c r="L181" s="209" t="s">
        <v>1294</v>
      </c>
      <c r="N181" s="209"/>
    </row>
    <row r="182" spans="1:14" x14ac:dyDescent="0.2">
      <c r="A182" s="274"/>
      <c r="B182" s="209"/>
      <c r="C182" s="209"/>
      <c r="D182" s="209">
        <v>1</v>
      </c>
      <c r="E182" s="209"/>
      <c r="F182" s="210" t="s">
        <v>1491</v>
      </c>
      <c r="G182" s="211">
        <v>1</v>
      </c>
      <c r="H182" s="210" t="s">
        <v>946</v>
      </c>
      <c r="I182" s="210" t="s">
        <v>77</v>
      </c>
      <c r="J182" s="209" t="s">
        <v>1096</v>
      </c>
      <c r="K182" s="209" t="s">
        <v>1311</v>
      </c>
      <c r="L182" s="209" t="s">
        <v>1097</v>
      </c>
      <c r="N182" s="209"/>
    </row>
    <row r="183" spans="1:14" x14ac:dyDescent="0.2">
      <c r="A183" s="274"/>
      <c r="B183" s="209"/>
      <c r="C183" s="209">
        <v>1</v>
      </c>
      <c r="D183" s="209"/>
      <c r="E183" s="209"/>
      <c r="F183" s="210" t="s">
        <v>1492</v>
      </c>
      <c r="G183" s="211">
        <v>1</v>
      </c>
      <c r="H183" s="210" t="s">
        <v>947</v>
      </c>
      <c r="I183" s="210" t="s">
        <v>77</v>
      </c>
      <c r="J183" s="209">
        <v>303733</v>
      </c>
      <c r="K183" s="209" t="s">
        <v>1311</v>
      </c>
      <c r="L183" s="218" t="s">
        <v>1113</v>
      </c>
      <c r="M183" s="219" t="s">
        <v>1318</v>
      </c>
      <c r="N183" s="209"/>
    </row>
    <row r="184" spans="1:14" x14ac:dyDescent="0.2">
      <c r="A184" s="214"/>
      <c r="B184" s="215"/>
      <c r="C184" s="215"/>
      <c r="D184" s="215">
        <v>0.87</v>
      </c>
      <c r="E184" s="215"/>
      <c r="F184" s="210" t="s">
        <v>1493</v>
      </c>
      <c r="G184" s="216">
        <v>1</v>
      </c>
      <c r="H184" s="210" t="s">
        <v>948</v>
      </c>
      <c r="I184" s="210" t="s">
        <v>77</v>
      </c>
      <c r="J184" s="209">
        <v>303733</v>
      </c>
      <c r="K184" s="209" t="s">
        <v>1311</v>
      </c>
      <c r="L184" s="218" t="s">
        <v>1150</v>
      </c>
      <c r="M184" s="213" t="s">
        <v>1494</v>
      </c>
      <c r="N184" s="209"/>
    </row>
    <row r="185" spans="1:14" x14ac:dyDescent="0.2">
      <c r="A185" s="274"/>
      <c r="B185" s="209"/>
      <c r="C185" s="209"/>
      <c r="D185" s="209">
        <v>1</v>
      </c>
      <c r="E185" s="209"/>
      <c r="F185" s="210" t="s">
        <v>1495</v>
      </c>
      <c r="G185" s="211">
        <v>1</v>
      </c>
      <c r="H185" s="210" t="s">
        <v>950</v>
      </c>
      <c r="I185" s="210" t="s">
        <v>77</v>
      </c>
      <c r="J185" s="209" t="s">
        <v>1096</v>
      </c>
      <c r="K185" s="209" t="s">
        <v>1311</v>
      </c>
      <c r="L185" s="209" t="s">
        <v>1193</v>
      </c>
      <c r="N185" s="209"/>
    </row>
    <row r="186" spans="1:14" x14ac:dyDescent="0.2">
      <c r="A186" s="274"/>
      <c r="B186" s="209"/>
      <c r="C186" s="209"/>
      <c r="D186" s="209">
        <v>0.88</v>
      </c>
      <c r="E186" s="209"/>
      <c r="F186" s="210" t="s">
        <v>1496</v>
      </c>
      <c r="G186" s="211">
        <v>1</v>
      </c>
      <c r="H186" s="210" t="s">
        <v>952</v>
      </c>
      <c r="I186" s="210" t="s">
        <v>77</v>
      </c>
      <c r="J186" s="209" t="s">
        <v>1096</v>
      </c>
      <c r="K186" s="209" t="s">
        <v>1311</v>
      </c>
      <c r="L186" s="209" t="s">
        <v>1237</v>
      </c>
      <c r="M186" s="213" t="s">
        <v>1497</v>
      </c>
      <c r="N186" s="209"/>
    </row>
    <row r="187" spans="1:14" x14ac:dyDescent="0.2">
      <c r="A187" s="274"/>
      <c r="B187" s="209"/>
      <c r="C187" s="209"/>
      <c r="D187" s="209">
        <v>1</v>
      </c>
      <c r="E187" s="209"/>
      <c r="F187" s="210" t="s">
        <v>1496</v>
      </c>
      <c r="G187" s="211">
        <v>1</v>
      </c>
      <c r="H187" s="210" t="s">
        <v>1256</v>
      </c>
      <c r="I187" s="210" t="s">
        <v>77</v>
      </c>
      <c r="J187" s="209" t="s">
        <v>1096</v>
      </c>
      <c r="K187" s="209" t="s">
        <v>1311</v>
      </c>
      <c r="L187" s="209" t="s">
        <v>1257</v>
      </c>
      <c r="N187" s="209"/>
    </row>
    <row r="188" spans="1:14" x14ac:dyDescent="0.2">
      <c r="A188" s="274"/>
      <c r="B188" s="209"/>
      <c r="C188" s="209"/>
      <c r="D188" s="209">
        <v>1</v>
      </c>
      <c r="E188" s="209"/>
      <c r="F188" s="210" t="s">
        <v>1498</v>
      </c>
      <c r="G188" s="211">
        <v>1</v>
      </c>
      <c r="H188" s="210" t="s">
        <v>954</v>
      </c>
      <c r="I188" s="210" t="s">
        <v>77</v>
      </c>
      <c r="J188" s="209" t="s">
        <v>1096</v>
      </c>
      <c r="K188" s="209" t="s">
        <v>1311</v>
      </c>
      <c r="L188" s="209" t="s">
        <v>1269</v>
      </c>
      <c r="M188" s="222" t="s">
        <v>1349</v>
      </c>
      <c r="N188" s="209"/>
    </row>
    <row r="189" spans="1:14" x14ac:dyDescent="0.2">
      <c r="A189" s="274">
        <v>0</v>
      </c>
      <c r="B189" s="209"/>
      <c r="C189" s="209"/>
      <c r="D189" s="209">
        <v>0.125</v>
      </c>
      <c r="E189" s="209"/>
      <c r="F189" s="210" t="s">
        <v>1495</v>
      </c>
      <c r="G189" s="211">
        <v>1</v>
      </c>
      <c r="H189" s="210" t="s">
        <v>955</v>
      </c>
      <c r="I189" s="210" t="s">
        <v>77</v>
      </c>
      <c r="J189" s="209" t="s">
        <v>1096</v>
      </c>
      <c r="K189" s="209" t="s">
        <v>1311</v>
      </c>
      <c r="L189" s="209" t="s">
        <v>1270</v>
      </c>
      <c r="M189" s="213" t="s">
        <v>1499</v>
      </c>
      <c r="N189" s="209"/>
    </row>
    <row r="190" spans="1:14" x14ac:dyDescent="0.2">
      <c r="A190" s="274"/>
      <c r="B190" s="209"/>
      <c r="C190" s="209"/>
      <c r="D190" s="209">
        <v>0.5</v>
      </c>
      <c r="E190" s="209"/>
      <c r="F190" s="210" t="s">
        <v>1500</v>
      </c>
      <c r="G190" s="211">
        <v>0.5</v>
      </c>
      <c r="H190" s="210" t="s">
        <v>1284</v>
      </c>
      <c r="I190" s="210" t="s">
        <v>77</v>
      </c>
      <c r="J190" s="209">
        <v>303733</v>
      </c>
      <c r="K190" s="209" t="s">
        <v>1311</v>
      </c>
      <c r="L190" s="209" t="s">
        <v>1285</v>
      </c>
      <c r="N190" s="209"/>
    </row>
    <row r="191" spans="1:14" x14ac:dyDescent="0.2">
      <c r="A191" s="215"/>
      <c r="B191" s="215"/>
      <c r="C191" s="215"/>
      <c r="D191" s="215"/>
      <c r="E191" s="215"/>
      <c r="F191" s="210" t="s">
        <v>1355</v>
      </c>
      <c r="G191" s="216">
        <v>0</v>
      </c>
      <c r="H191" s="210" t="s">
        <v>344</v>
      </c>
      <c r="I191" s="210" t="s">
        <v>344</v>
      </c>
      <c r="J191" s="209" t="s">
        <v>344</v>
      </c>
      <c r="K191" s="209" t="s">
        <v>344</v>
      </c>
      <c r="L191" s="221" t="s">
        <v>1501</v>
      </c>
      <c r="M191" s="213" t="s">
        <v>1502</v>
      </c>
      <c r="N191" s="209"/>
    </row>
    <row r="192" spans="1:14" x14ac:dyDescent="0.2">
      <c r="A192" s="215"/>
      <c r="B192" s="215"/>
      <c r="C192" s="215"/>
      <c r="D192" s="215"/>
      <c r="E192" s="215"/>
      <c r="F192" s="210" t="s">
        <v>1355</v>
      </c>
      <c r="G192" s="216">
        <v>1</v>
      </c>
      <c r="H192" s="210" t="s">
        <v>344</v>
      </c>
      <c r="I192" s="210" t="s">
        <v>344</v>
      </c>
      <c r="J192" s="209" t="s">
        <v>344</v>
      </c>
      <c r="K192" s="209" t="s">
        <v>344</v>
      </c>
      <c r="L192" s="221" t="s">
        <v>1503</v>
      </c>
      <c r="M192" s="213" t="s">
        <v>1502</v>
      </c>
      <c r="N192" s="209"/>
    </row>
    <row r="193" spans="1:14" x14ac:dyDescent="0.2">
      <c r="A193" s="215"/>
      <c r="B193" s="215"/>
      <c r="C193" s="215"/>
      <c r="D193" s="215"/>
      <c r="E193" s="215"/>
      <c r="F193" s="210" t="s">
        <v>1355</v>
      </c>
      <c r="G193" s="216">
        <v>1</v>
      </c>
      <c r="H193" s="210" t="s">
        <v>344</v>
      </c>
      <c r="I193" s="210" t="s">
        <v>344</v>
      </c>
      <c r="J193" s="209" t="s">
        <v>344</v>
      </c>
      <c r="K193" s="209" t="s">
        <v>344</v>
      </c>
      <c r="L193" s="221" t="s">
        <v>1504</v>
      </c>
      <c r="M193" s="213" t="s">
        <v>1502</v>
      </c>
      <c r="N193" s="209"/>
    </row>
    <row r="194" spans="1:14" x14ac:dyDescent="0.2">
      <c r="A194" s="215"/>
      <c r="B194" s="215"/>
      <c r="C194" s="215"/>
      <c r="D194" s="215"/>
      <c r="E194" s="215"/>
      <c r="F194" s="210" t="s">
        <v>1355</v>
      </c>
      <c r="G194" s="216">
        <v>1</v>
      </c>
      <c r="H194" s="210" t="s">
        <v>344</v>
      </c>
      <c r="I194" s="210" t="s">
        <v>344</v>
      </c>
      <c r="J194" s="209" t="s">
        <v>344</v>
      </c>
      <c r="K194" s="209" t="s">
        <v>344</v>
      </c>
      <c r="L194" s="221" t="s">
        <v>1505</v>
      </c>
      <c r="M194" s="213" t="s">
        <v>1506</v>
      </c>
      <c r="N194" s="209"/>
    </row>
    <row r="195" spans="1:14" x14ac:dyDescent="0.2">
      <c r="A195" s="215"/>
      <c r="B195" s="215"/>
      <c r="C195" s="215"/>
      <c r="D195" s="215"/>
      <c r="E195" s="215"/>
      <c r="F195" s="210" t="s">
        <v>1355</v>
      </c>
      <c r="G195" s="216">
        <v>0</v>
      </c>
      <c r="H195" s="210" t="s">
        <v>344</v>
      </c>
      <c r="I195" s="210" t="s">
        <v>344</v>
      </c>
      <c r="J195" s="209" t="s">
        <v>344</v>
      </c>
      <c r="K195" s="209" t="s">
        <v>344</v>
      </c>
      <c r="L195" s="221" t="s">
        <v>1501</v>
      </c>
      <c r="M195" s="213" t="s">
        <v>1502</v>
      </c>
      <c r="N195" s="209"/>
    </row>
    <row r="196" spans="1:14" ht="15" x14ac:dyDescent="0.2">
      <c r="A196" s="279">
        <f>SUBTOTAL(109,Table13[CHAIR])</f>
        <v>22</v>
      </c>
      <c r="B196" s="279">
        <f>SUBTOTAL(109,Table13[FERP])</f>
        <v>4</v>
      </c>
      <c r="C196" s="279">
        <f>SUBTOTAL(109,Table13[2YR TTF])</f>
        <v>18.5</v>
      </c>
      <c r="D196" s="279">
        <f>SUBTOTAL(109,Table13[REC TTF])</f>
        <v>105.98499999999999</v>
      </c>
      <c r="E196" s="279">
        <f>SUBTOTAL(109,Table13[Additional Release])</f>
        <v>0</v>
      </c>
      <c r="F196" s="280"/>
      <c r="G196" s="279">
        <f>SUBTOTAL(109,Table13[FTE])</f>
        <v>188</v>
      </c>
      <c r="H196" s="280"/>
      <c r="I196" s="280"/>
      <c r="J196" s="279"/>
      <c r="K196" s="279"/>
      <c r="L196" s="279"/>
      <c r="M196" s="281"/>
      <c r="N196" s="279"/>
    </row>
  </sheetData>
  <sheetProtection sheet="1" objects="1" scenarios="1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99B-2FDD-4574-83D9-DAFAD2CE22E2}">
  <sheetPr>
    <tabColor theme="9" tint="-0.499984740745262"/>
  </sheetPr>
  <dimension ref="A1:H197"/>
  <sheetViews>
    <sheetView workbookViewId="0">
      <selection sqref="A1:G1"/>
    </sheetView>
    <sheetView workbookViewId="1">
      <selection sqref="A1:G1"/>
    </sheetView>
  </sheetViews>
  <sheetFormatPr baseColWidth="10" defaultColWidth="11.1640625" defaultRowHeight="16" x14ac:dyDescent="0.2"/>
  <cols>
    <col min="1" max="1" width="4.33203125" style="153" customWidth="1"/>
    <col min="2" max="2" width="29.1640625" customWidth="1"/>
    <col min="4" max="4" width="14.1640625" customWidth="1"/>
    <col min="5" max="5" width="12.33203125" customWidth="1"/>
    <col min="6" max="6" width="13.1640625" customWidth="1"/>
    <col min="7" max="7" width="19.6640625" bestFit="1" customWidth="1"/>
    <col min="8" max="8" width="26.83203125" bestFit="1" customWidth="1"/>
  </cols>
  <sheetData>
    <row r="1" spans="1:8" ht="21" x14ac:dyDescent="0.2">
      <c r="A1" s="1160" t="s">
        <v>46</v>
      </c>
      <c r="B1" s="1160"/>
      <c r="C1" s="1160"/>
      <c r="D1" s="1160"/>
      <c r="E1" s="1160"/>
      <c r="F1" s="1160"/>
      <c r="G1" s="1160"/>
    </row>
    <row r="2" spans="1:8" ht="21" x14ac:dyDescent="0.2">
      <c r="A2" s="161"/>
      <c r="B2" s="161"/>
      <c r="C2" s="161"/>
      <c r="D2" s="161"/>
      <c r="E2" s="161"/>
      <c r="F2" s="161"/>
      <c r="G2" s="161"/>
    </row>
    <row r="3" spans="1:8" x14ac:dyDescent="0.2">
      <c r="B3" s="157" t="s">
        <v>31</v>
      </c>
      <c r="C3" s="131">
        <f>SUM(E8:E197)</f>
        <v>0</v>
      </c>
      <c r="D3" s="131">
        <f>SUM(F8:F197)</f>
        <v>0</v>
      </c>
    </row>
    <row r="4" spans="1:8" x14ac:dyDescent="0.2">
      <c r="B4" s="157" t="s">
        <v>32</v>
      </c>
      <c r="C4" s="159">
        <f>Anthropology!F37+Anthropology!F44+Art!F37+Art!F54+Biology!F37+Biology!F44+Geology!F37+Geology!F44+Chemistry!F37+Chemistry!F58+'Chicano-A Studies'!F37+'Chicano-A Studies'!F44+Communication!F36+Communication!F45+'Comp Sci-Mechatronics Eng'!F36+'Comp Sci-Mechatronics Eng'!F43+Mechatronics!F37+Mechatronics!F44+English!F36+English!F43+ESRM!F37+ESRM!F44+'Global Languages'!F37+'Global Languages'!F44+Spanish!F37+Spanish!F44+Hist!F37+Hist!F44+'Black Studies'!F37+'Black Studies'!F44+'Health Sciences'!F37+'Health Sciences'!F44+Math!F37+Math!F44+Philosophy!F37+Philosophy!F44+Nursing!F36+Nursing!F43+'Performing Arts'!F37+'Performing Arts'!F44+'Theater Arts'!F37+'Theater Arts'!F44+Dance!F37+Dance!F44+Music!F37+Music!F44+Physics!F37+Physics!F46+'Physical Sciences'!F37+'Physical Sciences'!F44+'Political Sci-Glob Studies-MPA'!F37+'Political Sci-Glob Studies-MPA'!F44+'Global Studies'!F37+'Global Studies'!F44+Psychology!F37+Psychology!F44+Sociology!F37+Sociology!F44</f>
        <v>400.2</v>
      </c>
      <c r="D4" s="159">
        <f>Anthropology!I37+Anthropology!I44+Art!I37+Art!I54+Biology!I37+Biology!I44+Geology!I37+Geology!I44+Chemistry!I37+Chemistry!I58+'Chicano-A Studies'!I37+'Chicano-A Studies'!I44+Communication!I36+Communication!I45+'Comp Sci-Mechatronics Eng'!I36+'Comp Sci-Mechatronics Eng'!I43+Mechatronics!I37+Mechatronics!I44+English!I36+English!I43+ESRM!I37+ESRM!I44+'Global Languages'!I37+'Global Languages'!I44+Spanish!I37+Spanish!I44+Hist!I37+Hist!I44+'Black Studies'!I37+'Black Studies'!I44+'Health Sciences'!I37+'Health Sciences'!I44+Math!I37+Math!I44+Philosophy!I37+Philosophy!I44+Nursing!I36+Nursing!I43+'Performing Arts'!I37+'Performing Arts'!I44+'Theater Arts'!I37+'Theater Arts'!I44+Dance!I37+Dance!I44+Music!I37+Music!I44+Physics!I37+Physics!I46+'Physical Sciences'!I37+'Physical Sciences'!I44+'Political Sci-Glob Studies-MPA'!I37+'Political Sci-Glob Studies-MPA'!I44+'Global Studies'!I37+'Global Studies'!I44+Psychology!I37+Psychology!I44+Sociology!I37+Sociology!I44</f>
        <v>183.7</v>
      </c>
    </row>
    <row r="5" spans="1:8" x14ac:dyDescent="0.2">
      <c r="A5" s="162"/>
      <c r="B5" s="169" t="s">
        <v>33</v>
      </c>
      <c r="C5" s="160">
        <f>C3-C4</f>
        <v>-400.2</v>
      </c>
      <c r="D5" s="160">
        <f>D3-D4</f>
        <v>-183.7</v>
      </c>
    </row>
    <row r="6" spans="1:8" ht="17" thickBot="1" x14ac:dyDescent="0.25"/>
    <row r="7" spans="1:8" ht="45.5" customHeight="1" thickBot="1" x14ac:dyDescent="0.25">
      <c r="A7" s="163" t="s">
        <v>34</v>
      </c>
      <c r="B7" s="164" t="s">
        <v>35</v>
      </c>
      <c r="C7" s="164" t="s">
        <v>36</v>
      </c>
      <c r="D7" s="165" t="s">
        <v>37</v>
      </c>
      <c r="E7" s="165" t="s">
        <v>38</v>
      </c>
      <c r="F7" s="165" t="s">
        <v>39</v>
      </c>
      <c r="G7" s="165" t="s">
        <v>40</v>
      </c>
      <c r="H7" s="166" t="s">
        <v>41</v>
      </c>
    </row>
    <row r="8" spans="1:8" x14ac:dyDescent="0.2">
      <c r="A8" s="153">
        <v>1</v>
      </c>
      <c r="C8" s="153" t="str">
        <f>IFERROR(VLOOKUP(B8,'Data Elements'!$A:$H,4,0),"")</f>
        <v/>
      </c>
      <c r="D8" s="153" t="str">
        <f>IFERROR(VLOOKUP(B8,'Data Elements'!$A:$H,3,0),"")</f>
        <v/>
      </c>
      <c r="E8" s="153"/>
      <c r="F8" s="153"/>
      <c r="G8" s="130"/>
      <c r="H8" s="153"/>
    </row>
    <row r="9" spans="1:8" x14ac:dyDescent="0.2">
      <c r="A9" s="153">
        <v>2</v>
      </c>
      <c r="C9" s="153" t="str">
        <f>IFERROR(VLOOKUP(B9,'Data Elements'!A:D,4,0),"")</f>
        <v/>
      </c>
      <c r="D9" s="153" t="str">
        <f>IFERROR(VLOOKUP(B9,'Data Elements'!$A:$D,3,0),"")</f>
        <v/>
      </c>
      <c r="E9" s="153"/>
      <c r="F9" s="153"/>
      <c r="G9" s="130"/>
      <c r="H9" s="153"/>
    </row>
    <row r="10" spans="1:8" x14ac:dyDescent="0.2">
      <c r="A10" s="153">
        <v>3</v>
      </c>
      <c r="C10" s="153" t="str">
        <f>IFERROR(VLOOKUP(B10,'Data Elements'!A:D,4,0),"")</f>
        <v/>
      </c>
      <c r="D10" s="153" t="str">
        <f>IFERROR(VLOOKUP(B10,'Data Elements'!$A:$D,3,0),"")</f>
        <v/>
      </c>
      <c r="E10" s="153"/>
      <c r="F10" s="153"/>
      <c r="G10" s="130"/>
      <c r="H10" s="153"/>
    </row>
    <row r="11" spans="1:8" x14ac:dyDescent="0.2">
      <c r="A11" s="153">
        <v>4</v>
      </c>
      <c r="C11" s="153" t="str">
        <f>IFERROR(VLOOKUP(B11,'Data Elements'!A:D,4,0),"")</f>
        <v/>
      </c>
      <c r="D11" s="153" t="str">
        <f>IFERROR(VLOOKUP(B11,'Data Elements'!$A:$D,3,0),"")</f>
        <v/>
      </c>
      <c r="E11" s="153"/>
      <c r="F11" s="153"/>
      <c r="G11" s="130"/>
      <c r="H11" s="153"/>
    </row>
    <row r="12" spans="1:8" x14ac:dyDescent="0.2">
      <c r="A12" s="153">
        <v>5</v>
      </c>
      <c r="C12" s="153" t="str">
        <f>IFERROR(VLOOKUP(B12,'Data Elements'!A:D,4,0),"")</f>
        <v/>
      </c>
      <c r="D12" s="153" t="s">
        <v>45</v>
      </c>
      <c r="E12" s="153"/>
      <c r="F12" s="153"/>
      <c r="G12" s="130"/>
      <c r="H12" s="153"/>
    </row>
    <row r="13" spans="1:8" x14ac:dyDescent="0.2">
      <c r="A13" s="153">
        <v>6</v>
      </c>
      <c r="C13" s="153" t="str">
        <f>IFERROR(VLOOKUP(B13,'Data Elements'!A:D,4,0),"")</f>
        <v/>
      </c>
      <c r="D13" s="153" t="str">
        <f>IFERROR(VLOOKUP(B13,'Data Elements'!$A:$D,3,0),"")</f>
        <v/>
      </c>
      <c r="E13" s="153"/>
      <c r="F13" s="153"/>
      <c r="G13" s="130"/>
      <c r="H13" s="153"/>
    </row>
    <row r="14" spans="1:8" x14ac:dyDescent="0.2">
      <c r="A14" s="153">
        <v>7</v>
      </c>
      <c r="C14" s="153" t="str">
        <f>IFERROR(VLOOKUP(B14,'Data Elements'!A:D,4,0),"")</f>
        <v/>
      </c>
      <c r="D14" s="153" t="str">
        <f>IFERROR(VLOOKUP(B14,'Data Elements'!$A:$D,3,0),"")</f>
        <v/>
      </c>
      <c r="E14" s="153"/>
      <c r="F14" s="153"/>
      <c r="G14" s="130"/>
      <c r="H14" s="153"/>
    </row>
    <row r="15" spans="1:8" x14ac:dyDescent="0.2">
      <c r="A15" s="153">
        <v>8</v>
      </c>
      <c r="C15" s="153" t="str">
        <f>IFERROR(VLOOKUP(B15,'Data Elements'!A:D,4,0),"")</f>
        <v/>
      </c>
      <c r="D15" s="153" t="str">
        <f>IFERROR(VLOOKUP(B15,'Data Elements'!$A:$D,3,0),"")</f>
        <v/>
      </c>
      <c r="E15" s="153"/>
      <c r="F15" s="153"/>
      <c r="G15" s="130"/>
      <c r="H15" s="153"/>
    </row>
    <row r="16" spans="1:8" x14ac:dyDescent="0.2">
      <c r="A16" s="153">
        <v>9</v>
      </c>
      <c r="C16" s="153" t="str">
        <f>IFERROR(VLOOKUP(B16,'Data Elements'!A:D,4,0),"")</f>
        <v/>
      </c>
      <c r="D16" s="153" t="str">
        <f>IFERROR(VLOOKUP(B16,'Data Elements'!$A:$D,3,0),"")</f>
        <v/>
      </c>
      <c r="E16" s="153"/>
      <c r="F16" s="153"/>
      <c r="G16" s="130"/>
      <c r="H16" s="153"/>
    </row>
    <row r="17" spans="1:8" x14ac:dyDescent="0.2">
      <c r="A17" s="153">
        <v>10</v>
      </c>
      <c r="C17" s="153" t="str">
        <f>IFERROR(VLOOKUP(B17,'Data Elements'!A:D,4,0),"")</f>
        <v/>
      </c>
      <c r="D17" s="153" t="str">
        <f>IFERROR(VLOOKUP(B17,'Data Elements'!$A:$D,3,0),"")</f>
        <v/>
      </c>
      <c r="E17" s="153"/>
      <c r="F17" s="153"/>
      <c r="G17" s="130"/>
      <c r="H17" s="153"/>
    </row>
    <row r="18" spans="1:8" x14ac:dyDescent="0.2">
      <c r="A18" s="153">
        <v>11</v>
      </c>
      <c r="C18" s="153" t="str">
        <f>IFERROR(VLOOKUP(B18,'Data Elements'!A:D,4,0),"")</f>
        <v/>
      </c>
      <c r="D18" s="153" t="str">
        <f>IFERROR(VLOOKUP(B18,'Data Elements'!$A:$D,3,0),"")</f>
        <v/>
      </c>
      <c r="E18" s="153"/>
      <c r="F18" s="153"/>
      <c r="G18" s="130"/>
      <c r="H18" s="153"/>
    </row>
    <row r="19" spans="1:8" x14ac:dyDescent="0.2">
      <c r="A19" s="153">
        <v>12</v>
      </c>
      <c r="C19" s="153" t="str">
        <f>IFERROR(VLOOKUP(B19,'Data Elements'!A:D,4,0),"")</f>
        <v/>
      </c>
      <c r="D19" s="153" t="str">
        <f>IFERROR(VLOOKUP(B19,'Data Elements'!$A:$D,3,0),"")</f>
        <v/>
      </c>
      <c r="E19" s="153"/>
      <c r="F19" s="153"/>
      <c r="G19" s="130"/>
      <c r="H19" s="153"/>
    </row>
    <row r="20" spans="1:8" x14ac:dyDescent="0.2">
      <c r="A20" s="153">
        <v>13</v>
      </c>
      <c r="C20" s="153" t="str">
        <f>IFERROR(VLOOKUP(B20,'Data Elements'!A:D,4,0),"")</f>
        <v/>
      </c>
      <c r="D20" s="153" t="str">
        <f>IFERROR(VLOOKUP(B20,'Data Elements'!$A:$D,3,0),"")</f>
        <v/>
      </c>
      <c r="E20" s="153"/>
      <c r="F20" s="153"/>
      <c r="G20" s="130"/>
      <c r="H20" s="153"/>
    </row>
    <row r="21" spans="1:8" x14ac:dyDescent="0.2">
      <c r="A21" s="153">
        <v>14</v>
      </c>
      <c r="C21" s="153" t="str">
        <f>IFERROR(VLOOKUP(B21,'Data Elements'!A:D,4,0),"")</f>
        <v/>
      </c>
      <c r="D21" s="153" t="str">
        <f>IFERROR(VLOOKUP(B21,'Data Elements'!$A:$D,3,0),"")</f>
        <v/>
      </c>
      <c r="E21" s="153"/>
      <c r="F21" s="153"/>
      <c r="G21" s="130"/>
      <c r="H21" s="153"/>
    </row>
    <row r="22" spans="1:8" x14ac:dyDescent="0.2">
      <c r="A22" s="153">
        <v>15</v>
      </c>
      <c r="C22" s="153" t="str">
        <f>IFERROR(VLOOKUP(B22,'Data Elements'!A:D,4,0),"")</f>
        <v/>
      </c>
      <c r="D22" s="153" t="str">
        <f>IFERROR(VLOOKUP(B22,'Data Elements'!$A:$D,3,0),"")</f>
        <v/>
      </c>
      <c r="E22" s="153"/>
      <c r="F22" s="153"/>
      <c r="G22" s="130"/>
      <c r="H22" s="153"/>
    </row>
    <row r="23" spans="1:8" x14ac:dyDescent="0.2">
      <c r="A23" s="153">
        <v>16</v>
      </c>
      <c r="C23" s="153" t="str">
        <f>IFERROR(VLOOKUP(B23,'Data Elements'!A:D,4,0),"")</f>
        <v/>
      </c>
      <c r="D23" s="153" t="str">
        <f>IFERROR(VLOOKUP(B23,'Data Elements'!$A:$D,3,0),"")</f>
        <v/>
      </c>
      <c r="E23" s="153"/>
      <c r="F23" s="153"/>
      <c r="G23" s="130"/>
      <c r="H23" s="153"/>
    </row>
    <row r="24" spans="1:8" x14ac:dyDescent="0.2">
      <c r="A24" s="153">
        <v>17</v>
      </c>
      <c r="C24" s="153" t="str">
        <f>IFERROR(VLOOKUP(B24,'Data Elements'!A:D,4,0),"")</f>
        <v/>
      </c>
      <c r="D24" s="153" t="str">
        <f>IFERROR(VLOOKUP(B24,'Data Elements'!$A:$D,3,0),"")</f>
        <v/>
      </c>
      <c r="E24" s="153"/>
      <c r="F24" s="153"/>
      <c r="G24" s="130"/>
      <c r="H24" s="153"/>
    </row>
    <row r="25" spans="1:8" x14ac:dyDescent="0.2">
      <c r="A25" s="153">
        <v>18</v>
      </c>
      <c r="C25" s="153" t="str">
        <f>IFERROR(VLOOKUP(B25,'Data Elements'!A:D,4,0),"")</f>
        <v/>
      </c>
      <c r="D25" s="153" t="str">
        <f>IFERROR(VLOOKUP(B25,'Data Elements'!$A:$D,3,0),"")</f>
        <v/>
      </c>
      <c r="E25" s="153"/>
      <c r="F25" s="153"/>
      <c r="G25" s="130"/>
      <c r="H25" s="153"/>
    </row>
    <row r="26" spans="1:8" x14ac:dyDescent="0.2">
      <c r="A26" s="153">
        <v>19</v>
      </c>
      <c r="C26" s="153" t="str">
        <f>IFERROR(VLOOKUP(B26,'Data Elements'!A:D,4,0),"")</f>
        <v/>
      </c>
      <c r="D26" s="153" t="str">
        <f>IFERROR(VLOOKUP(B26,'Data Elements'!$A:$D,3,0),"")</f>
        <v/>
      </c>
      <c r="E26" s="153"/>
      <c r="F26" s="153"/>
      <c r="G26" s="130"/>
      <c r="H26" s="153"/>
    </row>
    <row r="27" spans="1:8" x14ac:dyDescent="0.2">
      <c r="A27" s="153">
        <v>20</v>
      </c>
      <c r="C27" s="153" t="str">
        <f>IFERROR(VLOOKUP(B27,'Data Elements'!A:D,4,0),"")</f>
        <v/>
      </c>
      <c r="D27" s="153" t="str">
        <f>IFERROR(VLOOKUP(B27,'Data Elements'!$A:$D,3,0),"")</f>
        <v/>
      </c>
      <c r="E27" s="153"/>
      <c r="F27" s="153"/>
      <c r="G27" s="130"/>
      <c r="H27" s="153"/>
    </row>
    <row r="28" spans="1:8" x14ac:dyDescent="0.2">
      <c r="A28" s="153">
        <v>21</v>
      </c>
      <c r="C28" s="153" t="str">
        <f>IFERROR(VLOOKUP(B28,'Data Elements'!A:D,4,0),"")</f>
        <v/>
      </c>
      <c r="D28" s="153" t="str">
        <f>IFERROR(VLOOKUP(B28,'Data Elements'!$A:$D,3,0),"")</f>
        <v/>
      </c>
      <c r="E28" s="153"/>
      <c r="F28" s="153"/>
      <c r="G28" s="130"/>
      <c r="H28" s="153"/>
    </row>
    <row r="29" spans="1:8" x14ac:dyDescent="0.2">
      <c r="A29" s="153">
        <v>22</v>
      </c>
      <c r="C29" s="153" t="str">
        <f>IFERROR(VLOOKUP(B29,'Data Elements'!A:D,4,0),"")</f>
        <v/>
      </c>
      <c r="D29" s="153" t="str">
        <f>IFERROR(VLOOKUP(B29,'Data Elements'!$A:$D,3,0),"")</f>
        <v/>
      </c>
      <c r="E29" s="153"/>
      <c r="F29" s="153"/>
      <c r="G29" s="130"/>
      <c r="H29" s="153"/>
    </row>
    <row r="30" spans="1:8" x14ac:dyDescent="0.2">
      <c r="A30" s="153">
        <v>23</v>
      </c>
      <c r="C30" s="153" t="str">
        <f>IFERROR(VLOOKUP(B30,'Data Elements'!A:D,4,0),"")</f>
        <v/>
      </c>
      <c r="D30" s="153" t="str">
        <f>IFERROR(VLOOKUP(B30,'Data Elements'!$A:$D,3,0),"")</f>
        <v/>
      </c>
      <c r="E30" s="153"/>
      <c r="F30" s="153"/>
      <c r="G30" s="130"/>
      <c r="H30" s="153"/>
    </row>
    <row r="31" spans="1:8" x14ac:dyDescent="0.2">
      <c r="A31" s="153">
        <v>24</v>
      </c>
      <c r="C31" s="153" t="str">
        <f>IFERROR(VLOOKUP(B31,'Data Elements'!A:D,4,0),"")</f>
        <v/>
      </c>
      <c r="D31" s="153" t="str">
        <f>IFERROR(VLOOKUP(B31,'Data Elements'!$A:$D,3,0),"")</f>
        <v/>
      </c>
      <c r="E31" s="153"/>
      <c r="F31" s="153"/>
      <c r="G31" s="130"/>
      <c r="H31" s="153"/>
    </row>
    <row r="32" spans="1:8" x14ac:dyDescent="0.2">
      <c r="A32" s="153">
        <v>25</v>
      </c>
      <c r="C32" s="153" t="str">
        <f>IFERROR(VLOOKUP(B32,'Data Elements'!A:D,4,0),"")</f>
        <v/>
      </c>
      <c r="D32" s="153" t="str">
        <f>IFERROR(VLOOKUP(B32,'Data Elements'!$A:$D,3,0),"")</f>
        <v/>
      </c>
      <c r="E32" s="153"/>
      <c r="F32" s="153"/>
      <c r="G32" s="130"/>
      <c r="H32" s="153"/>
    </row>
    <row r="33" spans="1:8" x14ac:dyDescent="0.2">
      <c r="A33" s="153">
        <v>26</v>
      </c>
      <c r="C33" s="153" t="str">
        <f>IFERROR(VLOOKUP(B33,'Data Elements'!A:D,4,0),"")</f>
        <v/>
      </c>
      <c r="D33" s="153" t="str">
        <f>IFERROR(VLOOKUP(B33,'Data Elements'!$A:$D,3,0),"")</f>
        <v/>
      </c>
      <c r="E33" s="153"/>
      <c r="F33" s="153"/>
      <c r="G33" s="130"/>
      <c r="H33" s="153"/>
    </row>
    <row r="34" spans="1:8" x14ac:dyDescent="0.2">
      <c r="A34" s="153">
        <v>27</v>
      </c>
      <c r="C34" s="153" t="str">
        <f>IFERROR(VLOOKUP(B34,'Data Elements'!A:D,4,0),"")</f>
        <v/>
      </c>
      <c r="D34" s="153" t="str">
        <f>IFERROR(VLOOKUP(B34,'Data Elements'!$A:$D,3,0),"")</f>
        <v/>
      </c>
      <c r="E34" s="153"/>
      <c r="F34" s="153"/>
      <c r="G34" s="130"/>
      <c r="H34" s="153"/>
    </row>
    <row r="35" spans="1:8" x14ac:dyDescent="0.2">
      <c r="A35" s="153">
        <v>28</v>
      </c>
      <c r="C35" s="153" t="str">
        <f>IFERROR(VLOOKUP(B35,'Data Elements'!A:D,4,0),"")</f>
        <v/>
      </c>
      <c r="D35" s="153" t="str">
        <f>IFERROR(VLOOKUP(B35,'Data Elements'!$A:$D,3,0),"")</f>
        <v/>
      </c>
      <c r="E35" s="153"/>
      <c r="F35" s="153"/>
      <c r="G35" s="130"/>
      <c r="H35" s="153"/>
    </row>
    <row r="36" spans="1:8" x14ac:dyDescent="0.2">
      <c r="A36" s="153">
        <v>29</v>
      </c>
      <c r="C36" s="153" t="str">
        <f>IFERROR(VLOOKUP(B36,'Data Elements'!A:D,4,0),"")</f>
        <v/>
      </c>
      <c r="D36" s="153" t="str">
        <f>IFERROR(VLOOKUP(B36,'Data Elements'!$A:$D,3,0),"")</f>
        <v/>
      </c>
      <c r="E36" s="153"/>
      <c r="F36" s="153"/>
      <c r="G36" s="130"/>
      <c r="H36" s="153"/>
    </row>
    <row r="37" spans="1:8" x14ac:dyDescent="0.2">
      <c r="A37" s="153">
        <v>30</v>
      </c>
      <c r="C37" s="153" t="str">
        <f>IFERROR(VLOOKUP(B37,'Data Elements'!A:D,4,0),"")</f>
        <v/>
      </c>
      <c r="D37" s="153" t="str">
        <f>IFERROR(VLOOKUP(B37,'Data Elements'!$A:$D,3,0),"")</f>
        <v/>
      </c>
      <c r="E37" s="153"/>
      <c r="F37" s="153"/>
      <c r="G37" s="130"/>
      <c r="H37" s="153"/>
    </row>
    <row r="38" spans="1:8" x14ac:dyDescent="0.2">
      <c r="A38" s="153">
        <v>31</v>
      </c>
      <c r="C38" s="153" t="str">
        <f>IFERROR(VLOOKUP(B38,'Data Elements'!A:D,4,0),"")</f>
        <v/>
      </c>
      <c r="D38" s="153" t="str">
        <f>IFERROR(VLOOKUP(B38,'Data Elements'!$A:$D,3,0),"")</f>
        <v/>
      </c>
      <c r="E38" s="153"/>
      <c r="F38" s="153"/>
      <c r="G38" s="130"/>
      <c r="H38" s="153"/>
    </row>
    <row r="39" spans="1:8" x14ac:dyDescent="0.2">
      <c r="A39" s="153">
        <v>32</v>
      </c>
      <c r="C39" s="153" t="str">
        <f>IFERROR(VLOOKUP(B39,'Data Elements'!A:D,4,0),"")</f>
        <v/>
      </c>
      <c r="D39" s="153" t="str">
        <f>IFERROR(VLOOKUP(B39,'Data Elements'!$A:$D,3,0),"")</f>
        <v/>
      </c>
      <c r="E39" s="153"/>
      <c r="F39" s="153"/>
      <c r="G39" s="130"/>
      <c r="H39" s="153"/>
    </row>
    <row r="40" spans="1:8" x14ac:dyDescent="0.2">
      <c r="A40" s="153">
        <v>33</v>
      </c>
      <c r="C40" s="153" t="str">
        <f>IFERROR(VLOOKUP(B40,'Data Elements'!A:D,4,0),"")</f>
        <v/>
      </c>
      <c r="D40" s="153" t="str">
        <f>IFERROR(VLOOKUP(B40,'Data Elements'!$A:$D,3,0),"")</f>
        <v/>
      </c>
      <c r="E40" s="153"/>
      <c r="F40" s="153"/>
      <c r="G40" s="130"/>
      <c r="H40" s="153"/>
    </row>
    <row r="41" spans="1:8" x14ac:dyDescent="0.2">
      <c r="A41" s="153">
        <v>34</v>
      </c>
      <c r="C41" s="153" t="str">
        <f>IFERROR(VLOOKUP(B41,'Data Elements'!A:D,4,0),"")</f>
        <v/>
      </c>
      <c r="D41" s="153" t="str">
        <f>IFERROR(VLOOKUP(B41,'Data Elements'!$A:$D,3,0),"")</f>
        <v/>
      </c>
      <c r="E41" s="153"/>
      <c r="F41" s="153"/>
      <c r="G41" s="130"/>
      <c r="H41" s="153"/>
    </row>
    <row r="42" spans="1:8" x14ac:dyDescent="0.2">
      <c r="A42" s="153">
        <v>35</v>
      </c>
      <c r="C42" s="153" t="str">
        <f>IFERROR(VLOOKUP(B42,'Data Elements'!A:D,4,0),"")</f>
        <v/>
      </c>
      <c r="D42" s="153" t="str">
        <f>IFERROR(VLOOKUP(B42,'Data Elements'!$A:$D,3,0),"")</f>
        <v/>
      </c>
      <c r="E42" s="153"/>
      <c r="F42" s="153"/>
      <c r="G42" s="130"/>
      <c r="H42" s="153"/>
    </row>
    <row r="43" spans="1:8" x14ac:dyDescent="0.2">
      <c r="A43" s="153">
        <v>36</v>
      </c>
      <c r="C43" s="153" t="str">
        <f>IFERROR(VLOOKUP(B43,'Data Elements'!A:D,4,0),"")</f>
        <v/>
      </c>
      <c r="D43" s="153" t="str">
        <f>IFERROR(VLOOKUP(B43,'Data Elements'!$A:$D,3,0),"")</f>
        <v/>
      </c>
      <c r="E43" s="153"/>
      <c r="F43" s="153"/>
      <c r="G43" s="130"/>
      <c r="H43" s="153"/>
    </row>
    <row r="44" spans="1:8" x14ac:dyDescent="0.2">
      <c r="A44" s="153">
        <v>37</v>
      </c>
      <c r="C44" s="153" t="str">
        <f>IFERROR(VLOOKUP(B44,'Data Elements'!A:D,4,0),"")</f>
        <v/>
      </c>
      <c r="D44" s="153" t="str">
        <f>IFERROR(VLOOKUP(B44,'Data Elements'!$A:$D,3,0),"")</f>
        <v/>
      </c>
      <c r="E44" s="153"/>
      <c r="F44" s="153"/>
      <c r="G44" s="130"/>
      <c r="H44" s="153"/>
    </row>
    <row r="45" spans="1:8" x14ac:dyDescent="0.2">
      <c r="A45" s="153">
        <v>38</v>
      </c>
      <c r="C45" s="153" t="str">
        <f>IFERROR(VLOOKUP(B45,'Data Elements'!A:D,4,0),"")</f>
        <v/>
      </c>
      <c r="D45" s="153" t="str">
        <f>IFERROR(VLOOKUP(B45,'Data Elements'!$A:$D,3,0),"")</f>
        <v/>
      </c>
      <c r="E45" s="153"/>
      <c r="F45" s="153"/>
      <c r="G45" s="130"/>
      <c r="H45" s="153"/>
    </row>
    <row r="46" spans="1:8" x14ac:dyDescent="0.2">
      <c r="A46" s="153">
        <v>39</v>
      </c>
      <c r="C46" s="153" t="str">
        <f>IFERROR(VLOOKUP(B46,'Data Elements'!A:D,4,0),"")</f>
        <v/>
      </c>
      <c r="D46" s="153" t="str">
        <f>IFERROR(VLOOKUP(B46,'Data Elements'!$A:$D,3,0),"")</f>
        <v/>
      </c>
      <c r="E46" s="153"/>
      <c r="F46" s="153"/>
      <c r="G46" s="130"/>
      <c r="H46" s="153"/>
    </row>
    <row r="47" spans="1:8" x14ac:dyDescent="0.2">
      <c r="A47" s="153">
        <v>40</v>
      </c>
      <c r="C47" s="153" t="str">
        <f>IFERROR(VLOOKUP(B47,'Data Elements'!A:D,4,0),"")</f>
        <v/>
      </c>
      <c r="D47" s="153" t="str">
        <f>IFERROR(VLOOKUP(B47,'Data Elements'!$A:$D,3,0),"")</f>
        <v/>
      </c>
      <c r="E47" s="153"/>
      <c r="F47" s="153"/>
      <c r="G47" s="130"/>
      <c r="H47" s="153"/>
    </row>
    <row r="48" spans="1:8" x14ac:dyDescent="0.2">
      <c r="A48" s="153">
        <v>41</v>
      </c>
      <c r="C48" s="153" t="str">
        <f>IFERROR(VLOOKUP(B48,'Data Elements'!A:D,4,0),"")</f>
        <v/>
      </c>
      <c r="D48" s="153" t="str">
        <f>IFERROR(VLOOKUP(B48,'Data Elements'!$A:$D,3,0),"")</f>
        <v/>
      </c>
      <c r="E48" s="153"/>
      <c r="F48" s="153"/>
      <c r="G48" s="130"/>
      <c r="H48" s="153"/>
    </row>
    <row r="49" spans="1:8" x14ac:dyDescent="0.2">
      <c r="A49" s="153">
        <v>42</v>
      </c>
      <c r="C49" s="153" t="str">
        <f>IFERROR(VLOOKUP(B49,'Data Elements'!A:D,4,0),"")</f>
        <v/>
      </c>
      <c r="D49" s="153" t="str">
        <f>IFERROR(VLOOKUP(B49,'Data Elements'!$A:$D,3,0),"")</f>
        <v/>
      </c>
      <c r="E49" s="153"/>
      <c r="F49" s="153"/>
      <c r="G49" s="130"/>
      <c r="H49" s="153"/>
    </row>
    <row r="50" spans="1:8" x14ac:dyDescent="0.2">
      <c r="A50" s="153">
        <v>43</v>
      </c>
      <c r="C50" s="153" t="str">
        <f>IFERROR(VLOOKUP(B50,'Data Elements'!A:D,4,0),"")</f>
        <v/>
      </c>
      <c r="D50" s="153" t="str">
        <f>IFERROR(VLOOKUP(B50,'Data Elements'!$A:$D,3,0),"")</f>
        <v/>
      </c>
      <c r="E50" s="153"/>
      <c r="F50" s="153"/>
      <c r="G50" s="130"/>
      <c r="H50" s="153"/>
    </row>
    <row r="51" spans="1:8" x14ac:dyDescent="0.2">
      <c r="A51" s="153">
        <v>44</v>
      </c>
      <c r="C51" s="153" t="str">
        <f>IFERROR(VLOOKUP(B51,'Data Elements'!A:D,4,0),"")</f>
        <v/>
      </c>
      <c r="D51" s="153" t="str">
        <f>IFERROR(VLOOKUP(B51,'Data Elements'!$A:$D,3,0),"")</f>
        <v/>
      </c>
      <c r="E51" s="153"/>
      <c r="F51" s="153"/>
      <c r="G51" s="130"/>
      <c r="H51" s="153"/>
    </row>
    <row r="52" spans="1:8" x14ac:dyDescent="0.2">
      <c r="A52" s="153">
        <v>45</v>
      </c>
      <c r="C52" s="153" t="str">
        <f>IFERROR(VLOOKUP(B52,'Data Elements'!A:D,4,0),"")</f>
        <v/>
      </c>
      <c r="D52" s="153" t="str">
        <f>IFERROR(VLOOKUP(B52,'Data Elements'!$A:$D,3,0),"")</f>
        <v/>
      </c>
      <c r="E52" s="153"/>
      <c r="F52" s="153"/>
      <c r="G52" s="130"/>
      <c r="H52" s="153"/>
    </row>
    <row r="53" spans="1:8" x14ac:dyDescent="0.2">
      <c r="A53" s="153">
        <v>46</v>
      </c>
      <c r="C53" s="153"/>
      <c r="D53" s="153" t="str">
        <f>IFERROR(VLOOKUP(B53,'Data Elements'!$A:$D,3,0),"")</f>
        <v/>
      </c>
      <c r="E53" s="153"/>
      <c r="F53" s="153"/>
      <c r="G53" s="130"/>
      <c r="H53" s="153"/>
    </row>
    <row r="54" spans="1:8" x14ac:dyDescent="0.2">
      <c r="A54" s="153">
        <v>47</v>
      </c>
      <c r="C54" s="153"/>
      <c r="D54" s="153" t="str">
        <f>IFERROR(VLOOKUP(B54,'Data Elements'!$A:$D,3,0),"")</f>
        <v/>
      </c>
      <c r="E54" s="153"/>
      <c r="F54" s="153"/>
      <c r="G54" s="130"/>
      <c r="H54" s="153"/>
    </row>
    <row r="55" spans="1:8" x14ac:dyDescent="0.2">
      <c r="A55" s="153">
        <v>48</v>
      </c>
      <c r="C55" s="153"/>
      <c r="D55" s="153" t="str">
        <f>IFERROR(VLOOKUP(B55,'Data Elements'!$A:$D,3,0),"")</f>
        <v/>
      </c>
      <c r="E55" s="153"/>
      <c r="F55" s="153"/>
      <c r="G55" s="130"/>
      <c r="H55" s="153"/>
    </row>
    <row r="56" spans="1:8" x14ac:dyDescent="0.2">
      <c r="A56" s="153">
        <v>49</v>
      </c>
      <c r="C56" s="153"/>
      <c r="D56" s="153" t="str">
        <f>IFERROR(VLOOKUP(B56,'Data Elements'!$A:$D,3,0),"")</f>
        <v/>
      </c>
      <c r="E56" s="153"/>
      <c r="F56" s="153"/>
      <c r="G56" s="130"/>
      <c r="H56" s="153"/>
    </row>
    <row r="57" spans="1:8" x14ac:dyDescent="0.2">
      <c r="A57" s="153">
        <v>50</v>
      </c>
      <c r="C57" s="153"/>
      <c r="D57" s="153" t="str">
        <f>IFERROR(VLOOKUP(B57,'Data Elements'!$A:$D,3,0),"")</f>
        <v/>
      </c>
      <c r="E57" s="153"/>
      <c r="F57" s="153"/>
      <c r="G57" s="130"/>
      <c r="H57" s="153"/>
    </row>
    <row r="58" spans="1:8" x14ac:dyDescent="0.2">
      <c r="A58" s="153">
        <v>51</v>
      </c>
      <c r="C58" s="153"/>
      <c r="D58" s="153" t="str">
        <f>IFERROR(VLOOKUP(B58,'Data Elements'!$A:$D,3,0),"")</f>
        <v/>
      </c>
      <c r="E58" s="153"/>
      <c r="F58" s="153"/>
      <c r="G58" s="130"/>
      <c r="H58" s="153"/>
    </row>
    <row r="59" spans="1:8" x14ac:dyDescent="0.2">
      <c r="A59" s="153">
        <v>52</v>
      </c>
      <c r="C59" s="153"/>
      <c r="D59" s="153" t="str">
        <f>IFERROR(VLOOKUP(B59,'Data Elements'!$A:$D,3,0),"")</f>
        <v/>
      </c>
      <c r="E59" s="153"/>
      <c r="F59" s="153"/>
      <c r="G59" s="130"/>
      <c r="H59" s="153"/>
    </row>
    <row r="60" spans="1:8" x14ac:dyDescent="0.2">
      <c r="A60" s="153">
        <v>53</v>
      </c>
      <c r="C60" s="153"/>
      <c r="D60" s="153" t="str">
        <f>IFERROR(VLOOKUP(B60,'Data Elements'!$A:$D,3,0),"")</f>
        <v/>
      </c>
      <c r="E60" s="153"/>
      <c r="F60" s="153"/>
      <c r="G60" s="130"/>
      <c r="H60" s="153"/>
    </row>
    <row r="61" spans="1:8" x14ac:dyDescent="0.2">
      <c r="A61" s="153">
        <v>54</v>
      </c>
      <c r="C61" s="153"/>
      <c r="D61" s="153" t="str">
        <f>IFERROR(VLOOKUP(B61,'Data Elements'!$A:$D,3,0),"")</f>
        <v/>
      </c>
      <c r="E61" s="153"/>
      <c r="F61" s="153"/>
      <c r="G61" s="130"/>
      <c r="H61" s="153"/>
    </row>
    <row r="62" spans="1:8" x14ac:dyDescent="0.2">
      <c r="A62" s="153">
        <v>55</v>
      </c>
      <c r="C62" s="153"/>
      <c r="D62" s="153" t="str">
        <f>IFERROR(VLOOKUP(B62,'Data Elements'!$A:$D,3,0),"")</f>
        <v/>
      </c>
      <c r="E62" s="153"/>
      <c r="F62" s="153"/>
      <c r="G62" s="130"/>
      <c r="H62" s="153"/>
    </row>
    <row r="63" spans="1:8" x14ac:dyDescent="0.2">
      <c r="A63" s="153">
        <v>56</v>
      </c>
      <c r="C63" s="153"/>
      <c r="D63" s="153" t="str">
        <f>IFERROR(VLOOKUP(B63,'Data Elements'!$A:$D,3,0),"")</f>
        <v/>
      </c>
      <c r="E63" s="153"/>
      <c r="F63" s="153"/>
      <c r="G63" s="130"/>
      <c r="H63" s="153"/>
    </row>
    <row r="64" spans="1:8" x14ac:dyDescent="0.2">
      <c r="A64" s="153">
        <v>57</v>
      </c>
      <c r="C64" s="153"/>
      <c r="D64" s="153" t="str">
        <f>IFERROR(VLOOKUP(B64,'Data Elements'!$A:$D,3,0),"")</f>
        <v/>
      </c>
      <c r="E64" s="153"/>
      <c r="F64" s="153"/>
      <c r="G64" s="130"/>
      <c r="H64" s="153"/>
    </row>
    <row r="65" spans="1:8" x14ac:dyDescent="0.2">
      <c r="A65" s="153">
        <v>58</v>
      </c>
      <c r="C65" s="153"/>
      <c r="D65" s="153" t="str">
        <f>IFERROR(VLOOKUP(B65,'Data Elements'!$A:$D,3,0),"")</f>
        <v/>
      </c>
      <c r="E65" s="153"/>
      <c r="F65" s="153"/>
      <c r="G65" s="130"/>
      <c r="H65" s="153"/>
    </row>
    <row r="66" spans="1:8" x14ac:dyDescent="0.2">
      <c r="A66" s="153">
        <v>59</v>
      </c>
      <c r="C66" s="153"/>
      <c r="D66" s="153" t="str">
        <f>IFERROR(VLOOKUP(B66,'Data Elements'!$A:$D,3,0),"")</f>
        <v/>
      </c>
      <c r="E66" s="153"/>
      <c r="F66" s="153"/>
      <c r="G66" s="130"/>
      <c r="H66" s="153"/>
    </row>
    <row r="67" spans="1:8" x14ac:dyDescent="0.2">
      <c r="A67" s="153">
        <v>60</v>
      </c>
      <c r="C67" s="153"/>
      <c r="D67" s="153" t="str">
        <f>IFERROR(VLOOKUP(B67,'Data Elements'!$A:$D,3,0),"")</f>
        <v/>
      </c>
      <c r="E67" s="153"/>
      <c r="F67" s="153"/>
      <c r="G67" s="130"/>
      <c r="H67" s="153"/>
    </row>
    <row r="68" spans="1:8" x14ac:dyDescent="0.2">
      <c r="A68" s="153">
        <v>61</v>
      </c>
      <c r="C68" s="153"/>
      <c r="D68" s="153" t="str">
        <f>IFERROR(VLOOKUP(B68,'Data Elements'!$A:$D,3,0),"")</f>
        <v/>
      </c>
      <c r="E68" s="153"/>
      <c r="F68" s="153"/>
      <c r="G68" s="130"/>
      <c r="H68" s="153"/>
    </row>
    <row r="69" spans="1:8" x14ac:dyDescent="0.2">
      <c r="A69" s="153">
        <v>62</v>
      </c>
      <c r="C69" s="153"/>
      <c r="D69" s="153" t="str">
        <f>IFERROR(VLOOKUP(B69,'Data Elements'!$A:$D,3,0),"")</f>
        <v/>
      </c>
      <c r="E69" s="153"/>
      <c r="F69" s="153"/>
      <c r="G69" s="130"/>
      <c r="H69" s="153"/>
    </row>
    <row r="70" spans="1:8" x14ac:dyDescent="0.2">
      <c r="A70" s="153">
        <v>63</v>
      </c>
      <c r="C70" s="153"/>
      <c r="D70" s="153" t="str">
        <f>IFERROR(VLOOKUP(B70,'Data Elements'!$A:$D,3,0),"")</f>
        <v/>
      </c>
      <c r="E70" s="153"/>
      <c r="F70" s="153"/>
      <c r="G70" s="130"/>
      <c r="H70" s="153"/>
    </row>
    <row r="71" spans="1:8" x14ac:dyDescent="0.2">
      <c r="A71" s="153">
        <v>64</v>
      </c>
      <c r="C71" s="153"/>
      <c r="D71" s="153" t="str">
        <f>IFERROR(VLOOKUP(B71,'Data Elements'!$A:$D,3,0),"")</f>
        <v/>
      </c>
      <c r="E71" s="153"/>
      <c r="F71" s="153"/>
      <c r="G71" s="130"/>
      <c r="H71" s="153"/>
    </row>
    <row r="72" spans="1:8" x14ac:dyDescent="0.2">
      <c r="A72" s="153">
        <v>65</v>
      </c>
      <c r="C72" s="153"/>
      <c r="D72" s="153" t="str">
        <f>IFERROR(VLOOKUP(B72,'Data Elements'!$A:$D,3,0),"")</f>
        <v/>
      </c>
      <c r="E72" s="153"/>
      <c r="F72" s="153"/>
      <c r="G72" s="130"/>
      <c r="H72" s="153"/>
    </row>
    <row r="73" spans="1:8" x14ac:dyDescent="0.2">
      <c r="A73" s="153">
        <v>66</v>
      </c>
      <c r="C73" s="153"/>
      <c r="D73" s="153" t="str">
        <f>IFERROR(VLOOKUP(B73,'Data Elements'!$A:$D,3,0),"")</f>
        <v/>
      </c>
      <c r="E73" s="153"/>
      <c r="F73" s="153"/>
      <c r="G73" s="130"/>
      <c r="H73" s="153"/>
    </row>
    <row r="74" spans="1:8" x14ac:dyDescent="0.2">
      <c r="A74" s="153">
        <v>67</v>
      </c>
      <c r="C74" s="153"/>
      <c r="D74" s="153" t="str">
        <f>IFERROR(VLOOKUP(B74,'Data Elements'!$A:$D,3,0),"")</f>
        <v/>
      </c>
      <c r="E74" s="153"/>
      <c r="F74" s="153"/>
      <c r="G74" s="130"/>
      <c r="H74" s="153"/>
    </row>
    <row r="75" spans="1:8" x14ac:dyDescent="0.2">
      <c r="A75" s="153">
        <v>68</v>
      </c>
      <c r="C75" s="153"/>
      <c r="D75" s="153" t="str">
        <f>IFERROR(VLOOKUP(B75,'Data Elements'!$A:$D,3,0),"")</f>
        <v/>
      </c>
      <c r="E75" s="153"/>
      <c r="F75" s="153"/>
      <c r="G75" s="130"/>
      <c r="H75" s="153"/>
    </row>
    <row r="76" spans="1:8" x14ac:dyDescent="0.2">
      <c r="A76" s="153">
        <v>69</v>
      </c>
      <c r="C76" s="153"/>
      <c r="D76" s="153" t="str">
        <f>IFERROR(VLOOKUP(B76,'Data Elements'!$A:$D,3,0),"")</f>
        <v/>
      </c>
      <c r="E76" s="153"/>
      <c r="F76" s="153"/>
      <c r="G76" s="130"/>
      <c r="H76" s="153"/>
    </row>
    <row r="77" spans="1:8" x14ac:dyDescent="0.2">
      <c r="A77" s="153">
        <v>70</v>
      </c>
      <c r="C77" s="153"/>
      <c r="D77" s="153" t="str">
        <f>IFERROR(VLOOKUP(B77,'Data Elements'!$A:$D,3,0),"")</f>
        <v/>
      </c>
      <c r="E77" s="153"/>
      <c r="F77" s="153"/>
      <c r="G77" s="130"/>
      <c r="H77" s="153"/>
    </row>
    <row r="78" spans="1:8" x14ac:dyDescent="0.2">
      <c r="A78" s="153">
        <v>71</v>
      </c>
      <c r="C78" s="153"/>
      <c r="D78" s="153" t="str">
        <f>IFERROR(VLOOKUP(B78,'Data Elements'!$A:$D,3,0),"")</f>
        <v/>
      </c>
      <c r="E78" s="153"/>
      <c r="F78" s="153"/>
      <c r="G78" s="130"/>
      <c r="H78" s="153"/>
    </row>
    <row r="79" spans="1:8" x14ac:dyDescent="0.2">
      <c r="A79" s="153">
        <v>72</v>
      </c>
      <c r="C79" s="153"/>
      <c r="D79" s="153" t="str">
        <f>IFERROR(VLOOKUP(B79,'Data Elements'!$A:$D,3,0),"")</f>
        <v/>
      </c>
      <c r="E79" s="153"/>
      <c r="F79" s="153"/>
      <c r="G79" s="130"/>
      <c r="H79" s="153"/>
    </row>
    <row r="80" spans="1:8" x14ac:dyDescent="0.2">
      <c r="A80" s="153">
        <v>73</v>
      </c>
      <c r="C80" s="153"/>
      <c r="D80" s="153" t="str">
        <f>IFERROR(VLOOKUP(B80,'Data Elements'!$A:$D,3,0),"")</f>
        <v/>
      </c>
      <c r="E80" s="153"/>
      <c r="F80" s="153"/>
      <c r="G80" s="130"/>
      <c r="H80" s="153"/>
    </row>
    <row r="81" spans="1:8" x14ac:dyDescent="0.2">
      <c r="A81" s="153">
        <v>74</v>
      </c>
      <c r="C81" s="153"/>
      <c r="D81" s="153" t="str">
        <f>IFERROR(VLOOKUP(B81,'Data Elements'!$A:$D,3,0),"")</f>
        <v/>
      </c>
      <c r="E81" s="153"/>
      <c r="F81" s="153"/>
      <c r="G81" s="130"/>
      <c r="H81" s="153"/>
    </row>
    <row r="82" spans="1:8" x14ac:dyDescent="0.2">
      <c r="A82" s="153">
        <v>75</v>
      </c>
      <c r="C82" s="153"/>
      <c r="D82" s="153" t="str">
        <f>IFERROR(VLOOKUP(B82,'Data Elements'!$A:$D,3,0),"")</f>
        <v/>
      </c>
      <c r="E82" s="153"/>
      <c r="F82" s="153"/>
      <c r="G82" s="130"/>
      <c r="H82" s="153"/>
    </row>
    <row r="83" spans="1:8" x14ac:dyDescent="0.2">
      <c r="A83" s="153">
        <v>76</v>
      </c>
      <c r="C83" s="153"/>
      <c r="D83" s="153" t="str">
        <f>IFERROR(VLOOKUP(B83,'Data Elements'!$A:$D,3,0),"")</f>
        <v/>
      </c>
      <c r="E83" s="153"/>
      <c r="F83" s="153"/>
      <c r="G83" s="130"/>
      <c r="H83" s="153"/>
    </row>
    <row r="84" spans="1:8" x14ac:dyDescent="0.2">
      <c r="A84" s="153">
        <v>77</v>
      </c>
      <c r="C84" s="153"/>
      <c r="D84" s="153" t="str">
        <f>IFERROR(VLOOKUP(B84,'Data Elements'!$A:$D,3,0),"")</f>
        <v/>
      </c>
      <c r="E84" s="153"/>
      <c r="F84" s="153"/>
      <c r="G84" s="130"/>
      <c r="H84" s="153"/>
    </row>
    <row r="85" spans="1:8" x14ac:dyDescent="0.2">
      <c r="A85" s="153">
        <v>78</v>
      </c>
      <c r="C85" s="153"/>
      <c r="D85" s="153" t="str">
        <f>IFERROR(VLOOKUP(B85,'Data Elements'!$A:$D,3,0),"")</f>
        <v/>
      </c>
      <c r="E85" s="153"/>
      <c r="F85" s="153"/>
      <c r="G85" s="130"/>
      <c r="H85" s="153"/>
    </row>
    <row r="86" spans="1:8" x14ac:dyDescent="0.2">
      <c r="A86" s="153">
        <v>79</v>
      </c>
      <c r="C86" s="153"/>
      <c r="D86" s="153" t="str">
        <f>IFERROR(VLOOKUP(B86,'Data Elements'!$A:$D,3,0),"")</f>
        <v/>
      </c>
      <c r="E86" s="153"/>
      <c r="F86" s="153"/>
      <c r="G86" s="130"/>
      <c r="H86" s="153"/>
    </row>
    <row r="87" spans="1:8" x14ac:dyDescent="0.2">
      <c r="A87" s="153">
        <v>80</v>
      </c>
      <c r="C87" s="153"/>
      <c r="D87" s="153" t="str">
        <f>IFERROR(VLOOKUP(B87,'Data Elements'!$A:$D,3,0),"")</f>
        <v/>
      </c>
      <c r="E87" s="153"/>
      <c r="F87" s="153"/>
      <c r="G87" s="130"/>
      <c r="H87" s="153"/>
    </row>
    <row r="88" spans="1:8" x14ac:dyDescent="0.2">
      <c r="A88" s="153">
        <v>81</v>
      </c>
      <c r="C88" s="153"/>
      <c r="D88" s="153" t="str">
        <f>IFERROR(VLOOKUP(B88,'Data Elements'!$A:$D,3,0),"")</f>
        <v/>
      </c>
      <c r="E88" s="153"/>
      <c r="F88" s="153"/>
      <c r="G88" s="130"/>
      <c r="H88" s="153"/>
    </row>
    <row r="89" spans="1:8" x14ac:dyDescent="0.2">
      <c r="A89" s="153">
        <v>82</v>
      </c>
      <c r="C89" s="153"/>
      <c r="D89" s="153" t="str">
        <f>IFERROR(VLOOKUP(B89,'Data Elements'!$A:$D,3,0),"")</f>
        <v/>
      </c>
      <c r="E89" s="153"/>
      <c r="F89" s="153"/>
      <c r="G89" s="130"/>
      <c r="H89" s="153"/>
    </row>
    <row r="90" spans="1:8" x14ac:dyDescent="0.2">
      <c r="A90" s="153">
        <v>83</v>
      </c>
      <c r="C90" s="153"/>
      <c r="D90" s="153" t="str">
        <f>IFERROR(VLOOKUP(B90,'Data Elements'!$A:$D,3,0),"")</f>
        <v/>
      </c>
      <c r="E90" s="153"/>
      <c r="F90" s="153"/>
      <c r="G90" s="130"/>
      <c r="H90" s="153"/>
    </row>
    <row r="91" spans="1:8" x14ac:dyDescent="0.2">
      <c r="A91" s="153">
        <v>84</v>
      </c>
      <c r="C91" s="153"/>
      <c r="D91" s="153" t="str">
        <f>IFERROR(VLOOKUP(B91,'Data Elements'!$A:$D,3,0),"")</f>
        <v/>
      </c>
      <c r="E91" s="153"/>
      <c r="F91" s="153"/>
      <c r="G91" s="130"/>
      <c r="H91" s="153"/>
    </row>
    <row r="92" spans="1:8" x14ac:dyDescent="0.2">
      <c r="A92" s="153">
        <v>85</v>
      </c>
      <c r="C92" s="153"/>
      <c r="D92" s="153" t="str">
        <f>IFERROR(VLOOKUP(B92,'Data Elements'!$A:$D,3,0),"")</f>
        <v/>
      </c>
      <c r="E92" s="153"/>
      <c r="F92" s="153"/>
      <c r="G92" s="130"/>
      <c r="H92" s="153"/>
    </row>
    <row r="93" spans="1:8" x14ac:dyDescent="0.2">
      <c r="A93" s="153">
        <v>86</v>
      </c>
      <c r="C93" s="153"/>
      <c r="D93" s="153" t="str">
        <f>IFERROR(VLOOKUP(B93,'Data Elements'!$A:$D,3,0),"")</f>
        <v/>
      </c>
      <c r="E93" s="153"/>
      <c r="F93" s="153"/>
      <c r="G93" s="130"/>
      <c r="H93" s="153"/>
    </row>
    <row r="94" spans="1:8" x14ac:dyDescent="0.2">
      <c r="A94" s="153">
        <v>87</v>
      </c>
      <c r="C94" s="153"/>
      <c r="D94" s="153" t="str">
        <f>IFERROR(VLOOKUP(B94,'Data Elements'!$A:$D,3,0),"")</f>
        <v/>
      </c>
      <c r="E94" s="153"/>
      <c r="F94" s="153"/>
      <c r="G94" s="130"/>
      <c r="H94" s="153"/>
    </row>
    <row r="95" spans="1:8" x14ac:dyDescent="0.2">
      <c r="A95" s="153">
        <v>88</v>
      </c>
      <c r="C95" s="153"/>
      <c r="D95" s="153" t="str">
        <f>IFERROR(VLOOKUP(B95,'Data Elements'!$A:$D,3,0),"")</f>
        <v/>
      </c>
      <c r="E95" s="153"/>
      <c r="F95" s="153"/>
      <c r="G95" s="130"/>
      <c r="H95" s="153"/>
    </row>
    <row r="96" spans="1:8" x14ac:dyDescent="0.2">
      <c r="A96" s="153">
        <v>89</v>
      </c>
      <c r="C96" s="153"/>
      <c r="D96" s="153" t="str">
        <f>IFERROR(VLOOKUP(B96,'Data Elements'!$A:$D,3,0),"")</f>
        <v/>
      </c>
      <c r="E96" s="153"/>
      <c r="F96" s="153"/>
      <c r="G96" s="130"/>
      <c r="H96" s="153"/>
    </row>
    <row r="97" spans="1:8" x14ac:dyDescent="0.2">
      <c r="A97" s="153">
        <v>90</v>
      </c>
      <c r="C97" s="153"/>
      <c r="D97" s="153" t="str">
        <f>IFERROR(VLOOKUP(B97,'Data Elements'!$A:$D,3,0),"")</f>
        <v/>
      </c>
      <c r="E97" s="153"/>
      <c r="F97" s="153"/>
      <c r="G97" s="130"/>
      <c r="H97" s="153"/>
    </row>
    <row r="98" spans="1:8" x14ac:dyDescent="0.2">
      <c r="A98" s="153">
        <v>91</v>
      </c>
      <c r="C98" s="153"/>
      <c r="D98" s="153" t="str">
        <f>IFERROR(VLOOKUP(B98,'Data Elements'!$A:$D,3,0),"")</f>
        <v/>
      </c>
      <c r="E98" s="153"/>
      <c r="F98" s="153"/>
      <c r="G98" s="130"/>
      <c r="H98" s="153"/>
    </row>
    <row r="99" spans="1:8" x14ac:dyDescent="0.2">
      <c r="A99" s="153">
        <v>92</v>
      </c>
      <c r="C99" s="153"/>
      <c r="D99" s="153" t="str">
        <f>IFERROR(VLOOKUP(B99,'Data Elements'!$A:$D,3,0),"")</f>
        <v/>
      </c>
      <c r="E99" s="153"/>
      <c r="F99" s="153"/>
      <c r="G99" s="130"/>
      <c r="H99" s="153"/>
    </row>
    <row r="100" spans="1:8" x14ac:dyDescent="0.2">
      <c r="A100" s="153">
        <v>93</v>
      </c>
      <c r="C100" s="153"/>
      <c r="D100" s="153" t="str">
        <f>IFERROR(VLOOKUP(B100,'Data Elements'!$A:$D,3,0),"")</f>
        <v/>
      </c>
      <c r="E100" s="153"/>
      <c r="F100" s="153"/>
      <c r="G100" s="130"/>
      <c r="H100" s="153"/>
    </row>
    <row r="101" spans="1:8" x14ac:dyDescent="0.2">
      <c r="A101" s="153">
        <v>94</v>
      </c>
      <c r="C101" s="153"/>
      <c r="D101" s="153" t="str">
        <f>IFERROR(VLOOKUP(B101,'Data Elements'!$A:$D,3,0),"")</f>
        <v/>
      </c>
      <c r="E101" s="153"/>
      <c r="F101" s="153"/>
      <c r="G101" s="130"/>
      <c r="H101" s="153"/>
    </row>
    <row r="102" spans="1:8" x14ac:dyDescent="0.2">
      <c r="A102" s="153">
        <v>95</v>
      </c>
      <c r="C102" s="153"/>
      <c r="D102" s="153" t="str">
        <f>IFERROR(VLOOKUP(B102,'Data Elements'!$A:$D,3,0),"")</f>
        <v/>
      </c>
      <c r="E102" s="153"/>
      <c r="F102" s="153"/>
      <c r="G102" s="130"/>
      <c r="H102" s="153"/>
    </row>
    <row r="103" spans="1:8" x14ac:dyDescent="0.2">
      <c r="A103" s="153">
        <v>96</v>
      </c>
      <c r="C103" s="153"/>
      <c r="D103" s="153" t="str">
        <f>IFERROR(VLOOKUP(B103,'Data Elements'!$A:$D,3,0),"")</f>
        <v/>
      </c>
      <c r="E103" s="153"/>
      <c r="F103" s="153"/>
      <c r="G103" s="130"/>
      <c r="H103" s="153"/>
    </row>
    <row r="104" spans="1:8" x14ac:dyDescent="0.2">
      <c r="A104" s="153">
        <v>97</v>
      </c>
      <c r="C104" s="153"/>
      <c r="D104" s="153" t="str">
        <f>IFERROR(VLOOKUP(B104,'Data Elements'!$A:$D,3,0),"")</f>
        <v/>
      </c>
      <c r="E104" s="153"/>
      <c r="F104" s="153"/>
      <c r="G104" s="130"/>
      <c r="H104" s="153"/>
    </row>
    <row r="105" spans="1:8" x14ac:dyDescent="0.2">
      <c r="A105" s="153">
        <v>98</v>
      </c>
      <c r="C105" s="153"/>
      <c r="D105" s="153" t="str">
        <f>IFERROR(VLOOKUP(B105,'Data Elements'!$A:$D,3,0),"")</f>
        <v/>
      </c>
      <c r="E105" s="153"/>
      <c r="F105" s="153"/>
      <c r="G105" s="130"/>
      <c r="H105" s="153"/>
    </row>
    <row r="106" spans="1:8" x14ac:dyDescent="0.2">
      <c r="A106" s="153">
        <v>99</v>
      </c>
      <c r="C106" s="153"/>
      <c r="D106" s="153" t="str">
        <f>IFERROR(VLOOKUP(B106,'Data Elements'!$A:$D,3,0),"")</f>
        <v/>
      </c>
      <c r="E106" s="153"/>
      <c r="F106" s="153"/>
      <c r="G106" s="130"/>
      <c r="H106" s="153"/>
    </row>
    <row r="107" spans="1:8" x14ac:dyDescent="0.2">
      <c r="A107" s="153">
        <v>100</v>
      </c>
      <c r="C107" s="153"/>
      <c r="D107" s="153" t="str">
        <f>IFERROR(VLOOKUP(B107,'Data Elements'!$A:$D,3,0),"")</f>
        <v/>
      </c>
      <c r="E107" s="153"/>
      <c r="F107" s="153"/>
      <c r="G107" s="130"/>
      <c r="H107" s="153"/>
    </row>
    <row r="108" spans="1:8" x14ac:dyDescent="0.2">
      <c r="A108" s="153">
        <v>101</v>
      </c>
      <c r="C108" s="153"/>
      <c r="D108" s="153" t="str">
        <f>IFERROR(VLOOKUP(B108,'Data Elements'!$A:$D,3,0),"")</f>
        <v/>
      </c>
      <c r="E108" s="153"/>
      <c r="F108" s="153"/>
      <c r="G108" s="130"/>
      <c r="H108" s="153"/>
    </row>
    <row r="109" spans="1:8" x14ac:dyDescent="0.2">
      <c r="A109" s="153">
        <v>102</v>
      </c>
      <c r="C109" s="153"/>
      <c r="D109" s="153" t="str">
        <f>IFERROR(VLOOKUP(B109,'Data Elements'!$A:$D,3,0),"")</f>
        <v/>
      </c>
      <c r="E109" s="153"/>
      <c r="F109" s="153"/>
      <c r="G109" s="130"/>
      <c r="H109" s="153"/>
    </row>
    <row r="110" spans="1:8" x14ac:dyDescent="0.2">
      <c r="A110" s="153">
        <v>103</v>
      </c>
      <c r="C110" s="153"/>
      <c r="D110" s="153" t="str">
        <f>IFERROR(VLOOKUP(B110,'Data Elements'!$A:$D,3,0),"")</f>
        <v/>
      </c>
      <c r="E110" s="153"/>
      <c r="F110" s="153"/>
      <c r="G110" s="130"/>
      <c r="H110" s="153"/>
    </row>
    <row r="111" spans="1:8" x14ac:dyDescent="0.2">
      <c r="A111" s="153">
        <v>104</v>
      </c>
      <c r="C111" s="153"/>
      <c r="D111" s="153" t="str">
        <f>IFERROR(VLOOKUP(B111,'Data Elements'!$A:$D,3,0),"")</f>
        <v/>
      </c>
      <c r="E111" s="153"/>
      <c r="F111" s="153"/>
      <c r="G111" s="130"/>
      <c r="H111" s="153"/>
    </row>
    <row r="112" spans="1:8" x14ac:dyDescent="0.2">
      <c r="A112" s="153">
        <v>105</v>
      </c>
      <c r="C112" s="153"/>
      <c r="D112" s="153" t="str">
        <f>IFERROR(VLOOKUP(B112,'Data Elements'!$A:$D,3,0),"")</f>
        <v/>
      </c>
      <c r="E112" s="153"/>
      <c r="F112" s="153"/>
      <c r="G112" s="130"/>
      <c r="H112" s="153"/>
    </row>
    <row r="113" spans="1:8" x14ac:dyDescent="0.2">
      <c r="A113" s="153">
        <v>106</v>
      </c>
      <c r="C113" s="153"/>
      <c r="D113" s="153" t="str">
        <f>IFERROR(VLOOKUP(B113,'Data Elements'!$A:$D,3,0),"")</f>
        <v/>
      </c>
      <c r="E113" s="153"/>
      <c r="F113" s="153"/>
      <c r="G113" s="130"/>
      <c r="H113" s="153"/>
    </row>
    <row r="114" spans="1:8" x14ac:dyDescent="0.2">
      <c r="A114" s="153">
        <v>107</v>
      </c>
      <c r="C114" s="153"/>
      <c r="D114" s="153" t="str">
        <f>IFERROR(VLOOKUP(B114,'Data Elements'!$A:$D,3,0),"")</f>
        <v/>
      </c>
      <c r="E114" s="153"/>
      <c r="F114" s="153"/>
      <c r="G114" s="130"/>
      <c r="H114" s="153"/>
    </row>
    <row r="115" spans="1:8" x14ac:dyDescent="0.2">
      <c r="A115" s="153">
        <v>108</v>
      </c>
      <c r="C115" s="153"/>
      <c r="D115" s="153" t="str">
        <f>IFERROR(VLOOKUP(B115,'Data Elements'!$A:$D,3,0),"")</f>
        <v/>
      </c>
      <c r="E115" s="153"/>
      <c r="F115" s="153"/>
      <c r="G115" s="130"/>
      <c r="H115" s="153"/>
    </row>
    <row r="116" spans="1:8" x14ac:dyDescent="0.2">
      <c r="A116" s="153">
        <v>109</v>
      </c>
      <c r="C116" s="153"/>
      <c r="D116" s="153" t="str">
        <f>IFERROR(VLOOKUP(B116,'Data Elements'!$A:$D,3,0),"")</f>
        <v/>
      </c>
      <c r="E116" s="153"/>
      <c r="F116" s="153"/>
      <c r="G116" s="130"/>
      <c r="H116" s="153"/>
    </row>
    <row r="117" spans="1:8" x14ac:dyDescent="0.2">
      <c r="A117" s="153">
        <v>110</v>
      </c>
      <c r="C117" s="153"/>
      <c r="D117" s="153" t="str">
        <f>IFERROR(VLOOKUP(B117,'Data Elements'!$A:$D,3,0),"")</f>
        <v/>
      </c>
      <c r="E117" s="153"/>
      <c r="F117" s="153"/>
      <c r="G117" s="130"/>
      <c r="H117" s="153"/>
    </row>
    <row r="118" spans="1:8" x14ac:dyDescent="0.2">
      <c r="A118" s="153">
        <v>111</v>
      </c>
      <c r="C118" s="153"/>
      <c r="D118" s="153" t="str">
        <f>IFERROR(VLOOKUP(B118,'Data Elements'!$A:$D,3,0),"")</f>
        <v/>
      </c>
      <c r="E118" s="153"/>
      <c r="F118" s="153"/>
      <c r="G118" s="130"/>
      <c r="H118" s="153"/>
    </row>
    <row r="119" spans="1:8" x14ac:dyDescent="0.2">
      <c r="A119" s="153">
        <v>112</v>
      </c>
      <c r="C119" s="153"/>
      <c r="D119" s="153" t="str">
        <f>IFERROR(VLOOKUP(B119,'Data Elements'!$A:$D,3,0),"")</f>
        <v/>
      </c>
      <c r="E119" s="153"/>
      <c r="F119" s="153"/>
      <c r="G119" s="130"/>
      <c r="H119" s="153"/>
    </row>
    <row r="120" spans="1:8" x14ac:dyDescent="0.2">
      <c r="A120" s="153">
        <v>113</v>
      </c>
      <c r="C120" s="153"/>
      <c r="D120" s="153" t="str">
        <f>IFERROR(VLOOKUP(B120,'Data Elements'!$A:$D,3,0),"")</f>
        <v/>
      </c>
      <c r="E120" s="153"/>
      <c r="F120" s="153"/>
      <c r="G120" s="130"/>
      <c r="H120" s="153"/>
    </row>
    <row r="121" spans="1:8" x14ac:dyDescent="0.2">
      <c r="A121" s="153">
        <v>114</v>
      </c>
      <c r="C121" s="153"/>
      <c r="D121" s="153" t="str">
        <f>IFERROR(VLOOKUP(B121,'Data Elements'!$A:$D,3,0),"")</f>
        <v/>
      </c>
      <c r="E121" s="153"/>
      <c r="F121" s="153"/>
      <c r="G121" s="130"/>
      <c r="H121" s="153"/>
    </row>
    <row r="122" spans="1:8" x14ac:dyDescent="0.2">
      <c r="A122" s="153">
        <v>115</v>
      </c>
      <c r="C122" s="153"/>
      <c r="D122" s="153" t="str">
        <f>IFERROR(VLOOKUP(B122,'Data Elements'!$A:$D,3,0),"")</f>
        <v/>
      </c>
      <c r="E122" s="153"/>
      <c r="F122" s="153"/>
      <c r="G122" s="130"/>
      <c r="H122" s="153"/>
    </row>
    <row r="123" spans="1:8" x14ac:dyDescent="0.2">
      <c r="A123" s="153">
        <v>116</v>
      </c>
      <c r="C123" s="153"/>
      <c r="D123" s="153" t="str">
        <f>IFERROR(VLOOKUP(B123,'Data Elements'!$A:$D,3,0),"")</f>
        <v/>
      </c>
      <c r="E123" s="153"/>
      <c r="F123" s="153"/>
      <c r="G123" s="130"/>
      <c r="H123" s="153"/>
    </row>
    <row r="124" spans="1:8" x14ac:dyDescent="0.2">
      <c r="A124" s="153">
        <v>117</v>
      </c>
      <c r="C124" s="153"/>
      <c r="D124" s="153" t="str">
        <f>IFERROR(VLOOKUP(B124,'Data Elements'!$A:$D,3,0),"")</f>
        <v/>
      </c>
      <c r="E124" s="153"/>
      <c r="F124" s="153"/>
      <c r="G124" s="130"/>
      <c r="H124" s="153"/>
    </row>
    <row r="125" spans="1:8" x14ac:dyDescent="0.2">
      <c r="A125" s="153">
        <v>118</v>
      </c>
      <c r="C125" s="153"/>
      <c r="D125" s="153" t="str">
        <f>IFERROR(VLOOKUP(B125,'Data Elements'!$A:$D,3,0),"")</f>
        <v/>
      </c>
      <c r="E125" s="153"/>
      <c r="F125" s="153"/>
      <c r="G125" s="130"/>
      <c r="H125" s="153"/>
    </row>
    <row r="126" spans="1:8" x14ac:dyDescent="0.2">
      <c r="A126" s="153">
        <v>119</v>
      </c>
      <c r="C126" s="153"/>
      <c r="D126" s="153" t="str">
        <f>IFERROR(VLOOKUP(B126,'Data Elements'!$A:$D,3,0),"")</f>
        <v/>
      </c>
      <c r="E126" s="153"/>
      <c r="F126" s="153"/>
      <c r="G126" s="130"/>
      <c r="H126" s="153"/>
    </row>
    <row r="127" spans="1:8" x14ac:dyDescent="0.2">
      <c r="A127" s="153">
        <v>120</v>
      </c>
      <c r="C127" s="153"/>
      <c r="D127" s="153" t="str">
        <f>IFERROR(VLOOKUP(B127,'Data Elements'!$A:$D,3,0),"")</f>
        <v/>
      </c>
      <c r="E127" s="153"/>
      <c r="F127" s="153"/>
      <c r="G127" s="130"/>
      <c r="H127" s="153"/>
    </row>
    <row r="128" spans="1:8" x14ac:dyDescent="0.2">
      <c r="A128" s="153">
        <v>121</v>
      </c>
      <c r="C128" s="153"/>
      <c r="D128" s="153" t="str">
        <f>IFERROR(VLOOKUP(B128,'Data Elements'!$A:$D,3,0),"")</f>
        <v/>
      </c>
      <c r="E128" s="153"/>
      <c r="F128" s="153"/>
      <c r="G128" s="130"/>
      <c r="H128" s="153"/>
    </row>
    <row r="129" spans="1:8" x14ac:dyDescent="0.2">
      <c r="A129" s="153">
        <v>122</v>
      </c>
      <c r="C129" s="153"/>
      <c r="D129" s="153" t="str">
        <f>IFERROR(VLOOKUP(B129,'Data Elements'!$A:$D,3,0),"")</f>
        <v/>
      </c>
      <c r="E129" s="153"/>
      <c r="F129" s="153"/>
      <c r="G129" s="130"/>
      <c r="H129" s="153"/>
    </row>
    <row r="130" spans="1:8" x14ac:dyDescent="0.2">
      <c r="A130" s="153">
        <v>123</v>
      </c>
      <c r="C130" s="153"/>
      <c r="D130" s="153" t="str">
        <f>IFERROR(VLOOKUP(B130,'Data Elements'!$A:$D,3,0),"")</f>
        <v/>
      </c>
      <c r="E130" s="153"/>
      <c r="F130" s="153"/>
      <c r="G130" s="130"/>
      <c r="H130" s="153"/>
    </row>
    <row r="131" spans="1:8" x14ac:dyDescent="0.2">
      <c r="A131" s="153">
        <v>124</v>
      </c>
      <c r="C131" s="153"/>
      <c r="D131" s="153" t="str">
        <f>IFERROR(VLOOKUP(B131,'Data Elements'!$A:$D,3,0),"")</f>
        <v/>
      </c>
      <c r="E131" s="153"/>
      <c r="F131" s="153"/>
      <c r="G131" s="130"/>
      <c r="H131" s="153"/>
    </row>
    <row r="132" spans="1:8" x14ac:dyDescent="0.2">
      <c r="A132" s="153">
        <v>125</v>
      </c>
      <c r="C132" s="153"/>
      <c r="D132" s="153" t="str">
        <f>IFERROR(VLOOKUP(B132,'Data Elements'!$A:$D,3,0),"")</f>
        <v/>
      </c>
      <c r="E132" s="153"/>
      <c r="F132" s="153"/>
      <c r="G132" s="130"/>
      <c r="H132" s="153"/>
    </row>
    <row r="133" spans="1:8" x14ac:dyDescent="0.2">
      <c r="A133" s="153">
        <v>126</v>
      </c>
      <c r="C133" s="153"/>
      <c r="D133" s="153" t="str">
        <f>IFERROR(VLOOKUP(B133,'Data Elements'!$A:$D,3,0),"")</f>
        <v/>
      </c>
      <c r="E133" s="153"/>
      <c r="F133" s="153"/>
      <c r="G133" s="130"/>
      <c r="H133" s="153"/>
    </row>
    <row r="134" spans="1:8" x14ac:dyDescent="0.2">
      <c r="A134" s="153">
        <v>127</v>
      </c>
      <c r="C134" s="153"/>
      <c r="D134" s="153" t="str">
        <f>IFERROR(VLOOKUP(B134,'Data Elements'!$A:$D,3,0),"")</f>
        <v/>
      </c>
      <c r="E134" s="153"/>
      <c r="F134" s="153"/>
      <c r="G134" s="130"/>
      <c r="H134" s="153"/>
    </row>
    <row r="135" spans="1:8" x14ac:dyDescent="0.2">
      <c r="A135" s="153">
        <v>128</v>
      </c>
      <c r="C135" s="153"/>
      <c r="D135" s="153" t="str">
        <f>IFERROR(VLOOKUP(B135,'Data Elements'!$A:$D,3,0),"")</f>
        <v/>
      </c>
      <c r="E135" s="153"/>
      <c r="F135" s="153"/>
      <c r="G135" s="130"/>
      <c r="H135" s="153"/>
    </row>
    <row r="136" spans="1:8" x14ac:dyDescent="0.2">
      <c r="A136" s="153">
        <v>129</v>
      </c>
      <c r="C136" s="153"/>
      <c r="D136" s="153" t="str">
        <f>IFERROR(VLOOKUP(B136,'Data Elements'!$A:$D,3,0),"")</f>
        <v/>
      </c>
      <c r="E136" s="153"/>
      <c r="F136" s="153"/>
      <c r="G136" s="130"/>
      <c r="H136" s="153"/>
    </row>
    <row r="137" spans="1:8" x14ac:dyDescent="0.2">
      <c r="A137" s="153">
        <v>130</v>
      </c>
      <c r="C137" s="153"/>
      <c r="D137" s="153" t="str">
        <f>IFERROR(VLOOKUP(B137,'Data Elements'!$A:$D,3,0),"")</f>
        <v/>
      </c>
      <c r="E137" s="153"/>
      <c r="F137" s="153"/>
      <c r="G137" s="130"/>
      <c r="H137" s="153"/>
    </row>
    <row r="138" spans="1:8" x14ac:dyDescent="0.2">
      <c r="A138" s="153">
        <v>131</v>
      </c>
      <c r="C138" s="153"/>
      <c r="D138" s="153" t="str">
        <f>IFERROR(VLOOKUP(B138,'Data Elements'!$A:$D,3,0),"")</f>
        <v/>
      </c>
      <c r="E138" s="153"/>
      <c r="F138" s="153"/>
      <c r="G138" s="130"/>
      <c r="H138" s="153"/>
    </row>
    <row r="139" spans="1:8" x14ac:dyDescent="0.2">
      <c r="A139" s="153">
        <v>132</v>
      </c>
      <c r="C139" s="153"/>
      <c r="D139" s="153" t="str">
        <f>IFERROR(VLOOKUP(B139,'Data Elements'!$A:$D,3,0),"")</f>
        <v/>
      </c>
      <c r="E139" s="153"/>
      <c r="F139" s="153"/>
      <c r="G139" s="130"/>
      <c r="H139" s="153"/>
    </row>
    <row r="140" spans="1:8" x14ac:dyDescent="0.2">
      <c r="A140" s="153">
        <v>133</v>
      </c>
      <c r="C140" s="153"/>
      <c r="D140" s="153" t="str">
        <f>IFERROR(VLOOKUP(B140,'Data Elements'!$A:$D,3,0),"")</f>
        <v/>
      </c>
      <c r="E140" s="153"/>
      <c r="F140" s="153"/>
      <c r="G140" s="130"/>
      <c r="H140" s="153"/>
    </row>
    <row r="141" spans="1:8" x14ac:dyDescent="0.2">
      <c r="A141" s="153">
        <v>134</v>
      </c>
      <c r="C141" s="153"/>
      <c r="D141" s="153" t="str">
        <f>IFERROR(VLOOKUP(B141,'Data Elements'!$A:$D,3,0),"")</f>
        <v/>
      </c>
      <c r="E141" s="153"/>
      <c r="F141" s="153"/>
      <c r="G141" s="130"/>
      <c r="H141" s="153"/>
    </row>
    <row r="142" spans="1:8" x14ac:dyDescent="0.2">
      <c r="A142" s="153">
        <v>135</v>
      </c>
      <c r="C142" s="153"/>
      <c r="D142" s="153" t="str">
        <f>IFERROR(VLOOKUP(B142,'Data Elements'!$A:$D,3,0),"")</f>
        <v/>
      </c>
      <c r="E142" s="153"/>
      <c r="F142" s="153"/>
      <c r="G142" s="130"/>
      <c r="H142" s="153"/>
    </row>
    <row r="143" spans="1:8" x14ac:dyDescent="0.2">
      <c r="A143" s="153">
        <v>136</v>
      </c>
      <c r="C143" s="153"/>
      <c r="D143" s="153" t="str">
        <f>IFERROR(VLOOKUP(B143,'Data Elements'!$A:$D,3,0),"")</f>
        <v/>
      </c>
      <c r="E143" s="153"/>
      <c r="F143" s="153"/>
      <c r="G143" s="130"/>
      <c r="H143" s="153"/>
    </row>
    <row r="144" spans="1:8" x14ac:dyDescent="0.2">
      <c r="A144" s="153">
        <v>137</v>
      </c>
      <c r="C144" s="153"/>
      <c r="D144" s="153" t="str">
        <f>IFERROR(VLOOKUP(B144,'Data Elements'!$A:$D,3,0),"")</f>
        <v/>
      </c>
      <c r="E144" s="153"/>
      <c r="F144" s="153"/>
      <c r="G144" s="130"/>
      <c r="H144" s="153"/>
    </row>
    <row r="145" spans="1:8" x14ac:dyDescent="0.2">
      <c r="A145" s="153">
        <v>138</v>
      </c>
      <c r="C145" s="153"/>
      <c r="D145" s="153" t="str">
        <f>IFERROR(VLOOKUP(B145,'Data Elements'!$A:$D,3,0),"")</f>
        <v/>
      </c>
      <c r="E145" s="153"/>
      <c r="F145" s="153"/>
      <c r="G145" s="130"/>
      <c r="H145" s="153"/>
    </row>
    <row r="146" spans="1:8" x14ac:dyDescent="0.2">
      <c r="A146" s="153">
        <v>139</v>
      </c>
      <c r="C146" s="153"/>
      <c r="D146" s="153" t="str">
        <f>IFERROR(VLOOKUP(B146,'Data Elements'!$A:$D,3,0),"")</f>
        <v/>
      </c>
      <c r="E146" s="153"/>
      <c r="F146" s="153"/>
      <c r="G146" s="130"/>
      <c r="H146" s="153"/>
    </row>
    <row r="147" spans="1:8" x14ac:dyDescent="0.2">
      <c r="A147" s="153">
        <v>140</v>
      </c>
      <c r="C147" s="153"/>
      <c r="D147" s="153" t="str">
        <f>IFERROR(VLOOKUP(B147,'Data Elements'!$A:$D,3,0),"")</f>
        <v/>
      </c>
      <c r="E147" s="153"/>
      <c r="F147" s="153"/>
      <c r="G147" s="130"/>
      <c r="H147" s="153"/>
    </row>
    <row r="148" spans="1:8" x14ac:dyDescent="0.2">
      <c r="A148" s="153">
        <v>141</v>
      </c>
      <c r="C148" s="153"/>
      <c r="D148" s="153" t="str">
        <f>IFERROR(VLOOKUP(B148,'Data Elements'!$A:$D,3,0),"")</f>
        <v/>
      </c>
      <c r="E148" s="153"/>
      <c r="F148" s="153"/>
      <c r="G148" s="130"/>
      <c r="H148" s="153"/>
    </row>
    <row r="149" spans="1:8" x14ac:dyDescent="0.2">
      <c r="A149" s="153">
        <v>142</v>
      </c>
      <c r="C149" s="153"/>
      <c r="D149" s="153" t="str">
        <f>IFERROR(VLOOKUP(B149,'Data Elements'!$A:$D,3,0),"")</f>
        <v/>
      </c>
      <c r="E149" s="153"/>
      <c r="F149" s="153"/>
      <c r="G149" s="130"/>
      <c r="H149" s="153"/>
    </row>
    <row r="150" spans="1:8" x14ac:dyDescent="0.2">
      <c r="A150" s="153">
        <v>143</v>
      </c>
      <c r="C150" s="153"/>
      <c r="D150" s="153" t="str">
        <f>IFERROR(VLOOKUP(B150,'Data Elements'!$A:$D,3,0),"")</f>
        <v/>
      </c>
      <c r="E150" s="153"/>
      <c r="F150" s="153"/>
      <c r="G150" s="130"/>
      <c r="H150" s="153"/>
    </row>
    <row r="151" spans="1:8" x14ac:dyDescent="0.2">
      <c r="A151" s="153">
        <v>144</v>
      </c>
      <c r="C151" s="153"/>
      <c r="D151" s="153" t="str">
        <f>IFERROR(VLOOKUP(B151,'Data Elements'!$A:$D,3,0),"")</f>
        <v/>
      </c>
      <c r="E151" s="153"/>
      <c r="F151" s="153"/>
      <c r="G151" s="130"/>
      <c r="H151" s="153"/>
    </row>
    <row r="152" spans="1:8" x14ac:dyDescent="0.2">
      <c r="A152" s="153">
        <v>145</v>
      </c>
      <c r="C152" s="153"/>
      <c r="D152" s="153" t="str">
        <f>IFERROR(VLOOKUP(B152,'Data Elements'!$A:$D,3,0),"")</f>
        <v/>
      </c>
      <c r="E152" s="153"/>
      <c r="F152" s="153"/>
      <c r="G152" s="130"/>
      <c r="H152" s="153"/>
    </row>
    <row r="153" spans="1:8" x14ac:dyDescent="0.2">
      <c r="A153" s="153">
        <v>146</v>
      </c>
      <c r="C153" s="153"/>
      <c r="D153" s="153" t="str">
        <f>IFERROR(VLOOKUP(B153,'Data Elements'!$A:$D,3,0),"")</f>
        <v/>
      </c>
      <c r="E153" s="153"/>
      <c r="F153" s="153"/>
      <c r="G153" s="130"/>
      <c r="H153" s="153"/>
    </row>
    <row r="154" spans="1:8" x14ac:dyDescent="0.2">
      <c r="A154" s="153">
        <v>147</v>
      </c>
      <c r="C154" s="153"/>
      <c r="D154" s="153" t="str">
        <f>IFERROR(VLOOKUP(B154,'Data Elements'!$A:$D,3,0),"")</f>
        <v/>
      </c>
      <c r="E154" s="153"/>
      <c r="F154" s="153"/>
      <c r="G154" s="130"/>
      <c r="H154" s="153"/>
    </row>
    <row r="155" spans="1:8" x14ac:dyDescent="0.2">
      <c r="A155" s="153">
        <v>148</v>
      </c>
      <c r="C155" s="153"/>
      <c r="D155" s="153" t="str">
        <f>IFERROR(VLOOKUP(B155,'Data Elements'!$A:$D,3,0),"")</f>
        <v/>
      </c>
      <c r="E155" s="153"/>
      <c r="F155" s="153"/>
      <c r="G155" s="130"/>
      <c r="H155" s="153"/>
    </row>
    <row r="156" spans="1:8" x14ac:dyDescent="0.2">
      <c r="A156" s="153">
        <v>149</v>
      </c>
      <c r="C156" s="153"/>
      <c r="D156" s="153" t="str">
        <f>IFERROR(VLOOKUP(B156,'Data Elements'!$A:$D,3,0),"")</f>
        <v/>
      </c>
      <c r="E156" s="153"/>
      <c r="F156" s="153"/>
      <c r="G156" s="130"/>
      <c r="H156" s="153"/>
    </row>
    <row r="157" spans="1:8" x14ac:dyDescent="0.2">
      <c r="A157" s="153">
        <v>150</v>
      </c>
      <c r="C157" s="153"/>
      <c r="D157" s="153" t="str">
        <f>IFERROR(VLOOKUP(B157,'Data Elements'!$A:$D,3,0),"")</f>
        <v/>
      </c>
      <c r="E157" s="153"/>
      <c r="F157" s="153"/>
      <c r="G157" s="130"/>
      <c r="H157" s="153"/>
    </row>
    <row r="158" spans="1:8" x14ac:dyDescent="0.2">
      <c r="A158" s="153">
        <v>151</v>
      </c>
      <c r="C158" s="153"/>
      <c r="D158" s="153" t="str">
        <f>IFERROR(VLOOKUP(B158,'Data Elements'!$A:$D,3,0),"")</f>
        <v/>
      </c>
      <c r="E158" s="153"/>
      <c r="F158" s="153"/>
      <c r="G158" s="130"/>
      <c r="H158" s="153"/>
    </row>
    <row r="159" spans="1:8" x14ac:dyDescent="0.2">
      <c r="A159" s="153">
        <v>152</v>
      </c>
      <c r="C159" s="153"/>
      <c r="D159" s="153" t="str">
        <f>IFERROR(VLOOKUP(B159,'Data Elements'!$A:$D,3,0),"")</f>
        <v/>
      </c>
      <c r="E159" s="153"/>
      <c r="F159" s="153"/>
      <c r="G159" s="130"/>
      <c r="H159" s="153"/>
    </row>
    <row r="160" spans="1:8" x14ac:dyDescent="0.2">
      <c r="A160" s="153">
        <v>153</v>
      </c>
      <c r="C160" s="153"/>
      <c r="D160" s="153" t="str">
        <f>IFERROR(VLOOKUP(B160,'Data Elements'!$A:$D,3,0),"")</f>
        <v/>
      </c>
      <c r="E160" s="153"/>
      <c r="F160" s="153"/>
      <c r="G160" s="130"/>
      <c r="H160" s="153"/>
    </row>
    <row r="161" spans="1:8" x14ac:dyDescent="0.2">
      <c r="A161" s="153">
        <v>154</v>
      </c>
      <c r="C161" s="153"/>
      <c r="D161" s="153" t="str">
        <f>IFERROR(VLOOKUP(B161,'Data Elements'!$A:$D,3,0),"")</f>
        <v/>
      </c>
      <c r="E161" s="153"/>
      <c r="F161" s="153"/>
      <c r="G161" s="130"/>
      <c r="H161" s="153"/>
    </row>
    <row r="162" spans="1:8" x14ac:dyDescent="0.2">
      <c r="A162" s="153">
        <v>155</v>
      </c>
      <c r="C162" s="153"/>
      <c r="D162" s="153" t="str">
        <f>IFERROR(VLOOKUP(B162,'Data Elements'!$A:$D,3,0),"")</f>
        <v/>
      </c>
      <c r="E162" s="153"/>
      <c r="F162" s="153"/>
      <c r="G162" s="130"/>
      <c r="H162" s="153"/>
    </row>
    <row r="163" spans="1:8" x14ac:dyDescent="0.2">
      <c r="A163" s="153">
        <v>156</v>
      </c>
      <c r="C163" s="153"/>
      <c r="D163" s="153" t="str">
        <f>IFERROR(VLOOKUP(B163,'Data Elements'!$A:$D,3,0),"")</f>
        <v/>
      </c>
      <c r="E163" s="153"/>
      <c r="F163" s="153"/>
      <c r="G163" s="130"/>
      <c r="H163" s="153"/>
    </row>
    <row r="164" spans="1:8" x14ac:dyDescent="0.2">
      <c r="A164" s="153">
        <v>157</v>
      </c>
      <c r="C164" s="153"/>
      <c r="D164" s="153" t="str">
        <f>IFERROR(VLOOKUP(B164,'Data Elements'!$A:$D,3,0),"")</f>
        <v/>
      </c>
      <c r="E164" s="153"/>
      <c r="F164" s="153"/>
      <c r="G164" s="130"/>
      <c r="H164" s="153"/>
    </row>
    <row r="165" spans="1:8" x14ac:dyDescent="0.2">
      <c r="A165" s="153">
        <v>158</v>
      </c>
      <c r="C165" s="153"/>
      <c r="D165" s="153" t="str">
        <f>IFERROR(VLOOKUP(B165,'Data Elements'!$A:$D,3,0),"")</f>
        <v/>
      </c>
      <c r="E165" s="153"/>
      <c r="F165" s="153"/>
      <c r="G165" s="130"/>
      <c r="H165" s="153"/>
    </row>
    <row r="166" spans="1:8" x14ac:dyDescent="0.2">
      <c r="A166" s="153">
        <v>159</v>
      </c>
      <c r="C166" s="153"/>
      <c r="D166" s="153" t="str">
        <f>IFERROR(VLOOKUP(B166,'Data Elements'!$A:$D,3,0),"")</f>
        <v/>
      </c>
      <c r="E166" s="153"/>
      <c r="F166" s="153"/>
      <c r="G166" s="130"/>
      <c r="H166" s="153"/>
    </row>
    <row r="167" spans="1:8" x14ac:dyDescent="0.2">
      <c r="A167" s="153">
        <v>160</v>
      </c>
      <c r="C167" s="153"/>
      <c r="D167" s="153" t="str">
        <f>IFERROR(VLOOKUP(B167,'Data Elements'!$A:$D,3,0),"")</f>
        <v/>
      </c>
      <c r="E167" s="153"/>
      <c r="F167" s="153"/>
      <c r="G167" s="130"/>
      <c r="H167" s="153"/>
    </row>
    <row r="168" spans="1:8" x14ac:dyDescent="0.2">
      <c r="A168" s="153">
        <v>161</v>
      </c>
      <c r="C168" s="153"/>
      <c r="D168" s="153" t="str">
        <f>IFERROR(VLOOKUP(B168,'Data Elements'!$A:$D,3,0),"")</f>
        <v/>
      </c>
      <c r="E168" s="153"/>
      <c r="F168" s="153"/>
      <c r="G168" s="130"/>
      <c r="H168" s="153"/>
    </row>
    <row r="169" spans="1:8" x14ac:dyDescent="0.2">
      <c r="A169" s="153">
        <v>162</v>
      </c>
      <c r="C169" s="153"/>
      <c r="D169" s="153" t="str">
        <f>IFERROR(VLOOKUP(B169,'Data Elements'!$A:$D,3,0),"")</f>
        <v/>
      </c>
      <c r="E169" s="153"/>
      <c r="F169" s="153"/>
      <c r="G169" s="130"/>
      <c r="H169" s="153"/>
    </row>
    <row r="170" spans="1:8" x14ac:dyDescent="0.2">
      <c r="A170" s="153">
        <v>163</v>
      </c>
      <c r="C170" s="153"/>
      <c r="D170" s="153" t="str">
        <f>IFERROR(VLOOKUP(B170,'Data Elements'!$A:$D,3,0),"")</f>
        <v/>
      </c>
      <c r="E170" s="153"/>
      <c r="F170" s="153"/>
      <c r="G170" s="130"/>
      <c r="H170" s="153"/>
    </row>
    <row r="171" spans="1:8" x14ac:dyDescent="0.2">
      <c r="A171" s="153">
        <v>164</v>
      </c>
      <c r="C171" s="153"/>
      <c r="D171" s="153" t="str">
        <f>IFERROR(VLOOKUP(B171,'Data Elements'!$A:$D,3,0),"")</f>
        <v/>
      </c>
      <c r="E171" s="153"/>
      <c r="F171" s="153"/>
      <c r="G171" s="130"/>
      <c r="H171" s="153"/>
    </row>
    <row r="172" spans="1:8" x14ac:dyDescent="0.2">
      <c r="A172" s="153">
        <v>165</v>
      </c>
      <c r="C172" s="153"/>
      <c r="D172" s="153" t="str">
        <f>IFERROR(VLOOKUP(B172,'Data Elements'!$A:$D,3,0),"")</f>
        <v/>
      </c>
      <c r="E172" s="153"/>
      <c r="F172" s="153"/>
      <c r="G172" s="130"/>
      <c r="H172" s="153"/>
    </row>
    <row r="173" spans="1:8" x14ac:dyDescent="0.2">
      <c r="A173" s="153">
        <v>166</v>
      </c>
      <c r="C173" s="153"/>
      <c r="D173" s="153" t="str">
        <f>IFERROR(VLOOKUP(B173,'Data Elements'!$A:$D,3,0),"")</f>
        <v/>
      </c>
      <c r="E173" s="153"/>
      <c r="F173" s="153"/>
      <c r="G173" s="130"/>
      <c r="H173" s="153"/>
    </row>
    <row r="174" spans="1:8" x14ac:dyDescent="0.2">
      <c r="A174" s="153">
        <v>167</v>
      </c>
      <c r="C174" s="153"/>
      <c r="D174" s="153" t="str">
        <f>IFERROR(VLOOKUP(B174,'Data Elements'!$A:$D,3,0),"")</f>
        <v/>
      </c>
      <c r="E174" s="153"/>
      <c r="F174" s="153"/>
      <c r="G174" s="130"/>
      <c r="H174" s="153"/>
    </row>
    <row r="175" spans="1:8" x14ac:dyDescent="0.2">
      <c r="A175" s="153">
        <v>168</v>
      </c>
      <c r="C175" s="153"/>
      <c r="D175" s="153" t="str">
        <f>IFERROR(VLOOKUP(B175,'Data Elements'!$A:$D,3,0),"")</f>
        <v/>
      </c>
      <c r="E175" s="153"/>
      <c r="F175" s="153"/>
      <c r="G175" s="130"/>
      <c r="H175" s="153"/>
    </row>
    <row r="176" spans="1:8" x14ac:dyDescent="0.2">
      <c r="A176" s="153">
        <v>169</v>
      </c>
      <c r="C176" s="153"/>
      <c r="D176" s="153" t="str">
        <f>IFERROR(VLOOKUP(B176,'Data Elements'!$A:$D,3,0),"")</f>
        <v/>
      </c>
      <c r="E176" s="153"/>
      <c r="F176" s="153"/>
      <c r="G176" s="130"/>
      <c r="H176" s="153"/>
    </row>
    <row r="177" spans="1:8" x14ac:dyDescent="0.2">
      <c r="A177" s="153">
        <v>170</v>
      </c>
      <c r="C177" s="153"/>
      <c r="D177" s="153" t="str">
        <f>IFERROR(VLOOKUP(B177,'Data Elements'!$A:$D,3,0),"")</f>
        <v/>
      </c>
      <c r="E177" s="153"/>
      <c r="F177" s="153"/>
      <c r="G177" s="130"/>
      <c r="H177" s="153"/>
    </row>
    <row r="178" spans="1:8" x14ac:dyDescent="0.2">
      <c r="A178" s="153">
        <v>171</v>
      </c>
      <c r="C178" s="153"/>
      <c r="D178" s="153" t="str">
        <f>IFERROR(VLOOKUP(B178,'Data Elements'!$A:$D,3,0),"")</f>
        <v/>
      </c>
      <c r="E178" s="153"/>
      <c r="F178" s="153"/>
      <c r="G178" s="130"/>
      <c r="H178" s="153"/>
    </row>
    <row r="179" spans="1:8" x14ac:dyDescent="0.2">
      <c r="A179" s="153">
        <v>172</v>
      </c>
      <c r="C179" s="153"/>
      <c r="D179" s="153" t="str">
        <f>IFERROR(VLOOKUP(B179,'Data Elements'!$A:$D,3,0),"")</f>
        <v/>
      </c>
      <c r="E179" s="153"/>
      <c r="F179" s="153"/>
      <c r="G179" s="130"/>
      <c r="H179" s="153"/>
    </row>
    <row r="180" spans="1:8" x14ac:dyDescent="0.2">
      <c r="A180" s="153">
        <v>173</v>
      </c>
      <c r="C180" s="153"/>
      <c r="D180" s="153" t="str">
        <f>IFERROR(VLOOKUP(B180,'Data Elements'!$A:$D,3,0),"")</f>
        <v/>
      </c>
      <c r="E180" s="153"/>
      <c r="F180" s="153"/>
      <c r="G180" s="130"/>
      <c r="H180" s="153"/>
    </row>
    <row r="181" spans="1:8" x14ac:dyDescent="0.2">
      <c r="A181" s="153">
        <v>174</v>
      </c>
      <c r="C181" s="153"/>
      <c r="D181" s="153" t="str">
        <f>IFERROR(VLOOKUP(B181,'Data Elements'!$A:$D,3,0),"")</f>
        <v/>
      </c>
      <c r="E181" s="153"/>
      <c r="F181" s="153"/>
      <c r="G181" s="130"/>
      <c r="H181" s="153"/>
    </row>
    <row r="182" spans="1:8" x14ac:dyDescent="0.2">
      <c r="A182" s="153">
        <v>175</v>
      </c>
      <c r="C182" s="153"/>
      <c r="D182" s="153" t="str">
        <f>IFERROR(VLOOKUP(B182,'Data Elements'!$A:$D,3,0),"")</f>
        <v/>
      </c>
      <c r="E182" s="153"/>
      <c r="F182" s="153"/>
      <c r="G182" s="130"/>
      <c r="H182" s="153"/>
    </row>
    <row r="183" spans="1:8" x14ac:dyDescent="0.2">
      <c r="A183" s="153">
        <v>176</v>
      </c>
      <c r="C183" s="153"/>
      <c r="D183" s="153" t="str">
        <f>IFERROR(VLOOKUP(B183,'Data Elements'!$A:$D,3,0),"")</f>
        <v/>
      </c>
      <c r="E183" s="153"/>
      <c r="F183" s="153"/>
      <c r="G183" s="130"/>
      <c r="H183" s="153"/>
    </row>
    <row r="184" spans="1:8" x14ac:dyDescent="0.2">
      <c r="A184" s="153">
        <v>177</v>
      </c>
      <c r="C184" s="153"/>
      <c r="D184" s="153" t="str">
        <f>IFERROR(VLOOKUP(B184,'Data Elements'!$A:$D,3,0),"")</f>
        <v/>
      </c>
      <c r="E184" s="153"/>
      <c r="F184" s="153"/>
      <c r="G184" s="130"/>
      <c r="H184" s="153"/>
    </row>
    <row r="185" spans="1:8" x14ac:dyDescent="0.2">
      <c r="A185" s="153">
        <v>178</v>
      </c>
      <c r="C185" s="153"/>
      <c r="D185" s="153" t="str">
        <f>IFERROR(VLOOKUP(B185,'Data Elements'!$A:$D,3,0),"")</f>
        <v/>
      </c>
      <c r="E185" s="153"/>
      <c r="F185" s="153"/>
      <c r="G185" s="130"/>
      <c r="H185" s="153"/>
    </row>
    <row r="186" spans="1:8" x14ac:dyDescent="0.2">
      <c r="A186" s="153">
        <v>179</v>
      </c>
      <c r="C186" s="153"/>
      <c r="D186" s="153" t="str">
        <f>IFERROR(VLOOKUP(B186,'Data Elements'!$A:$D,3,0),"")</f>
        <v/>
      </c>
      <c r="E186" s="153"/>
      <c r="F186" s="153"/>
      <c r="G186" s="130"/>
      <c r="H186" s="153"/>
    </row>
    <row r="187" spans="1:8" x14ac:dyDescent="0.2">
      <c r="A187" s="153">
        <v>180</v>
      </c>
      <c r="C187" s="153"/>
      <c r="D187" s="153" t="str">
        <f>IFERROR(VLOOKUP(B187,'Data Elements'!$A:$D,3,0),"")</f>
        <v/>
      </c>
      <c r="E187" s="153"/>
      <c r="F187" s="153"/>
      <c r="G187" s="130"/>
      <c r="H187" s="153"/>
    </row>
    <row r="188" spans="1:8" x14ac:dyDescent="0.2">
      <c r="A188" s="153">
        <v>181</v>
      </c>
      <c r="C188" s="153"/>
      <c r="D188" s="153" t="str">
        <f>IFERROR(VLOOKUP(B188,'Data Elements'!$A:$D,3,0),"")</f>
        <v/>
      </c>
      <c r="E188" s="153"/>
      <c r="F188" s="153"/>
      <c r="G188" s="130"/>
      <c r="H188" s="153"/>
    </row>
    <row r="189" spans="1:8" x14ac:dyDescent="0.2">
      <c r="A189" s="153">
        <v>182</v>
      </c>
      <c r="C189" s="153"/>
      <c r="D189" s="153" t="str">
        <f>IFERROR(VLOOKUP(B189,'Data Elements'!$A:$D,3,0),"")</f>
        <v/>
      </c>
      <c r="E189" s="153"/>
      <c r="F189" s="153"/>
      <c r="G189" s="130"/>
      <c r="H189" s="153"/>
    </row>
    <row r="190" spans="1:8" x14ac:dyDescent="0.2">
      <c r="A190" s="153">
        <v>183</v>
      </c>
      <c r="C190" s="153"/>
      <c r="D190" s="153" t="str">
        <f>IFERROR(VLOOKUP(B190,'Data Elements'!$A:$D,3,0),"")</f>
        <v/>
      </c>
      <c r="E190" s="153"/>
      <c r="F190" s="153"/>
      <c r="G190" s="130"/>
      <c r="H190" s="153"/>
    </row>
    <row r="191" spans="1:8" x14ac:dyDescent="0.2">
      <c r="A191" s="153">
        <v>184</v>
      </c>
      <c r="C191" s="153"/>
      <c r="D191" s="153" t="str">
        <f>IFERROR(VLOOKUP(B191,'Data Elements'!$A:$D,3,0),"")</f>
        <v/>
      </c>
      <c r="E191" s="153"/>
      <c r="F191" s="153"/>
      <c r="G191" s="130"/>
      <c r="H191" s="153"/>
    </row>
    <row r="192" spans="1:8" x14ac:dyDescent="0.2">
      <c r="A192" s="153">
        <v>185</v>
      </c>
      <c r="C192" s="153"/>
      <c r="D192" s="153" t="str">
        <f>IFERROR(VLOOKUP(B192,'Data Elements'!$A:$D,3,0),"")</f>
        <v/>
      </c>
      <c r="E192" s="153"/>
      <c r="F192" s="153"/>
      <c r="G192" s="130"/>
      <c r="H192" s="153"/>
    </row>
    <row r="193" spans="1:8" x14ac:dyDescent="0.2">
      <c r="A193" s="153">
        <v>186</v>
      </c>
      <c r="C193" s="153"/>
      <c r="D193" s="153" t="str">
        <f>IFERROR(VLOOKUP(B193,'Data Elements'!$A:$D,3,0),"")</f>
        <v/>
      </c>
      <c r="E193" s="153"/>
      <c r="F193" s="153"/>
      <c r="G193" s="130"/>
      <c r="H193" s="153"/>
    </row>
    <row r="194" spans="1:8" x14ac:dyDescent="0.2">
      <c r="A194" s="153">
        <v>187</v>
      </c>
      <c r="C194" s="153"/>
      <c r="D194" s="153" t="str">
        <f>IFERROR(VLOOKUP(B194,'Data Elements'!$A:$D,3,0),"")</f>
        <v/>
      </c>
      <c r="E194" s="153"/>
      <c r="F194" s="153"/>
      <c r="G194" s="130"/>
      <c r="H194" s="153"/>
    </row>
    <row r="195" spans="1:8" x14ac:dyDescent="0.2">
      <c r="A195" s="153">
        <v>188</v>
      </c>
      <c r="C195" s="153"/>
      <c r="D195" s="153" t="str">
        <f>IFERROR(VLOOKUP(B195,'Data Elements'!$A:$D,3,0),"")</f>
        <v/>
      </c>
      <c r="E195" s="153"/>
      <c r="F195" s="153"/>
      <c r="G195" s="130"/>
      <c r="H195" s="153"/>
    </row>
    <row r="196" spans="1:8" x14ac:dyDescent="0.2">
      <c r="A196" s="153">
        <v>189</v>
      </c>
      <c r="C196" s="153"/>
      <c r="D196" s="153" t="str">
        <f>IFERROR(VLOOKUP(B196,'Data Elements'!$A:$D,3,0),"")</f>
        <v/>
      </c>
      <c r="E196" s="153"/>
      <c r="F196" s="153"/>
      <c r="G196" s="130"/>
      <c r="H196" s="153"/>
    </row>
    <row r="197" spans="1:8" x14ac:dyDescent="0.2">
      <c r="A197" s="153">
        <v>190</v>
      </c>
      <c r="C197" s="153"/>
      <c r="D197" s="153" t="str">
        <f>IFERROR(VLOOKUP(B197,'Data Elements'!$A:$D,3,0),"")</f>
        <v/>
      </c>
      <c r="E197" s="153"/>
      <c r="F197" s="153"/>
      <c r="G197" s="130"/>
      <c r="H197" s="153"/>
    </row>
  </sheetData>
  <mergeCells count="1">
    <mergeCell ref="A1:G1"/>
  </mergeCells>
  <conditionalFormatting sqref="C5:D5">
    <cfRule type="cellIs" dxfId="0" priority="1" operator="equal">
      <formula>0</formula>
    </cfRule>
  </conditionalFormatting>
  <dataValidations count="1">
    <dataValidation type="decimal" allowBlank="1" showInputMessage="1" showErrorMessage="1" sqref="F8:F52" xr:uid="{F3605045-3A12-4B0D-A8BF-413807030B6B}">
      <formula1>0</formula1>
      <formula2>12</formula2>
    </dataValidation>
  </dataValidations>
  <pageMargins left="0.7" right="0.7" top="0.75" bottom="0.75" header="0.3" footer="0.3"/>
  <pageSetup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DA2225-ECA5-4054-92BF-B11E4CA9A653}">
          <x14:formula1>
            <xm:f>'Data Elements'!$A$3:$A$180</xm:f>
          </x14:formula1>
          <xm:sqref>B8:B197</xm:sqref>
        </x14:dataValidation>
        <x14:dataValidation type="list" allowBlank="1" showInputMessage="1" showErrorMessage="1" xr:uid="{7B5D2F82-783B-4FE7-81E0-D9B33E714349}">
          <x14:formula1>
            <xm:f>'Data Elements'!$N$3:$N$15</xm:f>
          </x14:formula1>
          <xm:sqref>G8:G197</xm:sqref>
        </x14:dataValidation>
        <x14:dataValidation type="list" allowBlank="1" showInputMessage="1" showErrorMessage="1" xr:uid="{CA9793BD-793B-4614-8114-36E982CBE9D4}">
          <x14:formula1>
            <xm:f>'Data Elements'!$J$3:$J$11</xm:f>
          </x14:formula1>
          <xm:sqref>H8:H197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6A1C2-C120-C14C-9CAB-469CE0FAE5A5}">
  <sheetPr>
    <tabColor rgb="FF000000"/>
  </sheetPr>
  <dimension ref="A1:M68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3.1640625" customWidth="1"/>
    <col min="2" max="2" width="22.6640625" bestFit="1" customWidth="1"/>
    <col min="3" max="3" width="22.1640625" customWidth="1"/>
    <col min="4" max="4" width="18.5" customWidth="1"/>
    <col min="5" max="5" width="19.1640625" customWidth="1"/>
    <col min="6" max="6" width="17.5" bestFit="1" customWidth="1"/>
    <col min="7" max="7" width="15.83203125" customWidth="1"/>
    <col min="8" max="8" width="14.6640625" customWidth="1"/>
    <col min="9" max="9" width="15.5" customWidth="1"/>
    <col min="10" max="10" width="93.6640625" bestFit="1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354" t="s">
        <v>99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116.02500000000001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8.170774647887324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104.97499999999999</v>
      </c>
    </row>
    <row r="9" spans="1:10" ht="17" thickBot="1" x14ac:dyDescent="0.25">
      <c r="B9" s="1182"/>
      <c r="C9" s="19" t="s">
        <v>10</v>
      </c>
      <c r="D9" s="20">
        <f>VLOOKUP($D$2,Overview!$A$4:$AC$31,26,0)</f>
        <v>7.392605633802817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27"/>
      <c r="D21" s="118"/>
      <c r="E21" s="118"/>
      <c r="F21" s="118"/>
      <c r="G21" s="119"/>
      <c r="H21" s="119"/>
      <c r="I21" s="120"/>
      <c r="J21" s="35"/>
    </row>
    <row r="22" spans="2:10" ht="35.25" customHeight="1" x14ac:dyDescent="0.2">
      <c r="B22" s="36">
        <v>2</v>
      </c>
      <c r="C22" s="227"/>
      <c r="D22" s="121"/>
      <c r="E22" s="121"/>
      <c r="F22" s="121"/>
      <c r="G22" s="122"/>
      <c r="H22" s="122"/>
      <c r="I22" s="122"/>
      <c r="J22" s="339"/>
    </row>
    <row r="23" spans="2:10" x14ac:dyDescent="0.2">
      <c r="B23" s="36">
        <v>3</v>
      </c>
      <c r="C23" s="22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22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22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22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ht="22.5" customHeight="1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>SUM(E21:E36)</f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5">
      <c r="B40" s="284">
        <v>1</v>
      </c>
      <c r="C40" s="283"/>
      <c r="D40" s="285"/>
      <c r="E40" s="121"/>
      <c r="F40" s="121"/>
      <c r="G40" s="126"/>
      <c r="H40" s="126"/>
      <c r="I40" s="126"/>
      <c r="J40" s="38"/>
    </row>
    <row r="41" spans="2:10" ht="19" x14ac:dyDescent="0.25">
      <c r="B41" s="284">
        <v>2</v>
      </c>
      <c r="C41" s="283"/>
      <c r="D41" s="285"/>
      <c r="E41" s="121"/>
      <c r="F41" s="121"/>
      <c r="G41" s="126"/>
      <c r="H41" s="126"/>
      <c r="I41" s="126"/>
      <c r="J41" s="38"/>
    </row>
    <row r="42" spans="2:10" ht="19" x14ac:dyDescent="0.25">
      <c r="B42" s="284">
        <v>3</v>
      </c>
      <c r="C42" s="283"/>
      <c r="D42" s="285"/>
      <c r="E42" s="121"/>
      <c r="F42" s="121"/>
      <c r="G42" s="126"/>
      <c r="H42" s="126"/>
      <c r="I42" s="126"/>
      <c r="J42" s="38"/>
    </row>
    <row r="43" spans="2:10" ht="20" thickBot="1" x14ac:dyDescent="0.3">
      <c r="B43" s="349">
        <v>4</v>
      </c>
      <c r="C43" s="353"/>
      <c r="D43" s="290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50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3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3" s="57" customFormat="1" ht="19" x14ac:dyDescent="0.25">
      <c r="B49" s="231">
        <f t="shared" si="3"/>
        <v>233.45070422535213</v>
      </c>
      <c r="C49" s="58"/>
      <c r="D49" s="58" t="s">
        <v>219</v>
      </c>
      <c r="E49" s="105">
        <f>((D6-D4)*15)-D44</f>
        <v>122.56161971830986</v>
      </c>
      <c r="H49" s="111">
        <f>((D9-D7)*15)-G44</f>
        <v>110.88908450704226</v>
      </c>
      <c r="J49" s="1185"/>
    </row>
    <row r="50" spans="2:13" s="57" customFormat="1" ht="19" x14ac:dyDescent="0.25">
      <c r="B50" s="231">
        <v>9</v>
      </c>
      <c r="C50" s="58"/>
      <c r="D50" s="58"/>
      <c r="E50" s="344"/>
      <c r="H50" s="345"/>
      <c r="J50" s="1185"/>
    </row>
    <row r="51" spans="2:13" s="57" customFormat="1" ht="20" thickBot="1" x14ac:dyDescent="0.3">
      <c r="B51" s="230">
        <f>SUM(E51:H51)</f>
        <v>233.45070422535213</v>
      </c>
      <c r="C51" s="59"/>
      <c r="D51" s="59" t="s">
        <v>220</v>
      </c>
      <c r="E51" s="106">
        <f>SUM(E47:E50)</f>
        <v>122.56161971830986</v>
      </c>
      <c r="H51" s="112">
        <f>SUM(H47:I50)</f>
        <v>110.88908450704226</v>
      </c>
      <c r="J51" s="1185"/>
    </row>
    <row r="52" spans="2:13" s="60" customFormat="1" ht="21" thickTop="1" thickBot="1" x14ac:dyDescent="0.3">
      <c r="B52" s="342"/>
      <c r="C52" s="61"/>
      <c r="D52" s="62" t="s">
        <v>221</v>
      </c>
      <c r="E52" s="107"/>
      <c r="H52" s="113">
        <f>-E52</f>
        <v>0</v>
      </c>
      <c r="J52" s="1185"/>
    </row>
    <row r="53" spans="2:13" s="57" customFormat="1" ht="20" thickBot="1" x14ac:dyDescent="0.3">
      <c r="B53" s="371"/>
      <c r="D53" s="63" t="s">
        <v>222</v>
      </c>
      <c r="E53" s="108">
        <f>SUM(E51:E52)</f>
        <v>122.56161971830986</v>
      </c>
      <c r="G53" s="63"/>
      <c r="H53" s="114">
        <f>SUM(H51:H52)</f>
        <v>110.88908450704226</v>
      </c>
      <c r="I53" s="64"/>
      <c r="J53" s="1185"/>
    </row>
    <row r="54" spans="2:13" s="57" customFormat="1" ht="19" x14ac:dyDescent="0.25">
      <c r="D54" s="201" t="s">
        <v>278</v>
      </c>
      <c r="E54" s="202">
        <v>9</v>
      </c>
      <c r="F54" s="383"/>
      <c r="G54" s="204"/>
      <c r="H54" s="115"/>
      <c r="I54" s="66"/>
      <c r="J54" s="1185"/>
    </row>
    <row r="55" spans="2:13" s="57" customFormat="1" ht="19" x14ac:dyDescent="0.25">
      <c r="D55" s="71" t="s">
        <v>225</v>
      </c>
      <c r="E55" s="109">
        <f>E54-E53</f>
        <v>-113.56161971830986</v>
      </c>
      <c r="G55" s="65"/>
      <c r="H55" s="116">
        <f>H54-H53</f>
        <v>-110.88908450704226</v>
      </c>
      <c r="I55" s="66"/>
      <c r="J55" s="1185"/>
    </row>
    <row r="56" spans="2:13" s="57" customFormat="1" ht="20" thickBot="1" x14ac:dyDescent="0.3">
      <c r="D56" s="66" t="s">
        <v>226</v>
      </c>
      <c r="E56" s="105">
        <f>(D5*15)/(E53)</f>
        <v>14.200000000000001</v>
      </c>
      <c r="H56" s="117">
        <f>15*D8/H53</f>
        <v>14.2</v>
      </c>
      <c r="J56" s="1186"/>
    </row>
    <row r="62" spans="2:13" ht="68" x14ac:dyDescent="0.25">
      <c r="B62" s="622" t="s">
        <v>279</v>
      </c>
      <c r="C62" s="456" t="s">
        <v>230</v>
      </c>
      <c r="D62" s="457" t="s">
        <v>280</v>
      </c>
      <c r="E62" s="458" t="s">
        <v>234</v>
      </c>
      <c r="F62" s="456" t="s">
        <v>235</v>
      </c>
      <c r="G62" s="459" t="s">
        <v>236</v>
      </c>
      <c r="H62" s="459" t="s">
        <v>237</v>
      </c>
      <c r="I62" s="459" t="s">
        <v>238</v>
      </c>
      <c r="J62" s="458" t="s">
        <v>281</v>
      </c>
      <c r="K62" s="458" t="s">
        <v>282</v>
      </c>
      <c r="L62" s="458" t="s">
        <v>243</v>
      </c>
      <c r="M62" s="580" t="s">
        <v>244</v>
      </c>
    </row>
    <row r="63" spans="2:13" ht="17" x14ac:dyDescent="0.25">
      <c r="B63">
        <v>1</v>
      </c>
      <c r="C63" s="590" t="s">
        <v>876</v>
      </c>
      <c r="D63" s="590" t="s">
        <v>246</v>
      </c>
      <c r="E63" s="591" t="s">
        <v>284</v>
      </c>
      <c r="F63" s="590" t="s">
        <v>285</v>
      </c>
      <c r="G63" s="644">
        <v>1</v>
      </c>
      <c r="H63" s="644" t="s">
        <v>249</v>
      </c>
      <c r="I63" s="590"/>
      <c r="J63" s="559">
        <v>30</v>
      </c>
      <c r="K63" s="559"/>
      <c r="L63" s="624"/>
      <c r="M63" s="590" t="s">
        <v>249</v>
      </c>
    </row>
    <row r="64" spans="2:13" ht="17" x14ac:dyDescent="0.25">
      <c r="B64">
        <v>1</v>
      </c>
      <c r="C64" s="556" t="s">
        <v>877</v>
      </c>
      <c r="D64" s="590" t="s">
        <v>251</v>
      </c>
      <c r="E64" s="591" t="s">
        <v>252</v>
      </c>
      <c r="F64" s="556" t="s">
        <v>285</v>
      </c>
      <c r="G64" s="557">
        <v>1</v>
      </c>
      <c r="H64" s="557" t="s">
        <v>249</v>
      </c>
      <c r="I64" s="590"/>
      <c r="J64" s="559">
        <v>30</v>
      </c>
      <c r="K64" s="559"/>
      <c r="L64" s="560"/>
      <c r="M64" s="590" t="s">
        <v>249</v>
      </c>
    </row>
    <row r="65" spans="2:13" ht="17" x14ac:dyDescent="0.25">
      <c r="B65">
        <v>1</v>
      </c>
      <c r="C65" s="556" t="s">
        <v>878</v>
      </c>
      <c r="D65" s="590" t="s">
        <v>251</v>
      </c>
      <c r="E65" s="591" t="s">
        <v>284</v>
      </c>
      <c r="F65" s="556" t="s">
        <v>285</v>
      </c>
      <c r="G65" s="557">
        <v>1</v>
      </c>
      <c r="H65" s="557" t="s">
        <v>249</v>
      </c>
      <c r="I65" s="590"/>
      <c r="J65" s="559">
        <v>30</v>
      </c>
      <c r="K65" s="559"/>
      <c r="L65" s="560"/>
      <c r="M65" s="590" t="s">
        <v>249</v>
      </c>
    </row>
    <row r="66" spans="2:13" ht="34" x14ac:dyDescent="0.25">
      <c r="C66" s="618" t="s">
        <v>879</v>
      </c>
      <c r="D66" s="462" t="s">
        <v>251</v>
      </c>
      <c r="E66" s="464" t="s">
        <v>252</v>
      </c>
      <c r="F66" s="618" t="s">
        <v>248</v>
      </c>
      <c r="G66" s="619">
        <v>3</v>
      </c>
      <c r="H66" s="619">
        <v>1</v>
      </c>
      <c r="I66" s="618" t="s">
        <v>294</v>
      </c>
      <c r="J66" s="528">
        <v>20</v>
      </c>
      <c r="K66" s="527"/>
      <c r="L66" s="707"/>
      <c r="M66" s="462" t="s">
        <v>249</v>
      </c>
    </row>
    <row r="67" spans="2:13" ht="17" x14ac:dyDescent="0.25">
      <c r="C67" s="618" t="s">
        <v>880</v>
      </c>
      <c r="D67" s="462" t="s">
        <v>310</v>
      </c>
      <c r="E67" s="464" t="s">
        <v>284</v>
      </c>
      <c r="F67" s="618" t="s">
        <v>248</v>
      </c>
      <c r="G67" s="618" t="s">
        <v>311</v>
      </c>
      <c r="H67" s="619">
        <v>2</v>
      </c>
      <c r="I67" s="618"/>
      <c r="J67" s="528">
        <v>0</v>
      </c>
      <c r="K67" s="527"/>
      <c r="L67" s="707"/>
      <c r="M67" s="462" t="s">
        <v>304</v>
      </c>
    </row>
    <row r="68" spans="2:13" x14ac:dyDescent="0.2">
      <c r="B68" s="268">
        <f>SUM(B63:B67)</f>
        <v>3</v>
      </c>
      <c r="J68" s="443">
        <f>SUM(J63:J65)</f>
        <v>90</v>
      </c>
    </row>
  </sheetData>
  <mergeCells count="6">
    <mergeCell ref="J47:J56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0B7DAE-6DD0-7F4D-9A5C-0EC9DBBAD27D}">
          <x14:formula1>
            <xm:f>'Data Elements'!$A$3:$A$179</xm:f>
          </x14:formula1>
          <xm:sqref>C21:C35</xm:sqref>
        </x14:dataValidation>
        <x14:dataValidation type="list" allowBlank="1" showInputMessage="1" showErrorMessage="1" xr:uid="{E56A7FAA-0ED3-6C44-A6A4-8A6BA62C910E}">
          <x14:formula1>
            <xm:f>'Data Elements'!$A$3:$A$101</xm:f>
          </x14:formula1>
          <xm:sqref>C36</xm:sqref>
        </x14:dataValidation>
        <x14:dataValidation type="list" allowBlank="1" showInputMessage="1" showErrorMessage="1" xr:uid="{7BE449CC-FA23-E34E-B543-121FFAE3B2C9}">
          <x14:formula1>
            <xm:f>'Data Elements'!$F$3:$F$31</xm:f>
          </x14:formula1>
          <xm:sqref>D2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20F1-61C8-4236-9095-6884D2AB4F8F}">
  <sheetPr>
    <tabColor theme="1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71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VLOOKUP($D$2,Overview!$A$5:$AC$31,17,0)</f>
        <v>0</v>
      </c>
      <c r="E5" s="11"/>
    </row>
    <row r="6" spans="1:10" ht="17" thickBot="1" x14ac:dyDescent="0.25">
      <c r="B6" s="1179"/>
      <c r="C6" s="14" t="s">
        <v>9</v>
      </c>
      <c r="D6" s="15">
        <f>VLOOKUP($D$2,Overview!$A$5:$AC$31,15,0)</f>
        <v>0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VLOOKUP($D$2,Overview!$A$5:$AC$31,25,0)</f>
        <v>0</v>
      </c>
    </row>
    <row r="9" spans="1:10" ht="17" thickBot="1" x14ac:dyDescent="0.25">
      <c r="B9" s="1182"/>
      <c r="C9" s="19" t="s">
        <v>10</v>
      </c>
      <c r="D9" s="20">
        <f>VLOOKUP($D$2,Overview!$A$5:$AC$31,23,0)</f>
        <v>0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I44" si="1">SUM(E40:E43)</f>
        <v>0</v>
      </c>
      <c r="F44" s="128">
        <f t="shared" si="1"/>
        <v>0</v>
      </c>
      <c r="G44" s="129">
        <f t="shared" si="1"/>
        <v>0</v>
      </c>
      <c r="H44" s="129">
        <f t="shared" si="1"/>
        <v>0</v>
      </c>
      <c r="I44" s="129">
        <f t="shared" si="1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2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2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>
        <f t="shared" si="2"/>
        <v>0</v>
      </c>
      <c r="C49" s="58"/>
      <c r="D49" s="58" t="s">
        <v>219</v>
      </c>
      <c r="E49" s="105">
        <f>((D6-D4)*15)-D44</f>
        <v>0</v>
      </c>
      <c r="H49" s="111">
        <f>((D9-D7)*15)-G44</f>
        <v>0</v>
      </c>
      <c r="J49" s="1185"/>
    </row>
    <row r="50" spans="2:10" s="57" customFormat="1" ht="19" x14ac:dyDescent="0.25">
      <c r="B50" s="230">
        <f>SUM(E50:H50)</f>
        <v>0</v>
      </c>
      <c r="C50" s="59"/>
      <c r="D50" s="59" t="s">
        <v>220</v>
      </c>
      <c r="E50" s="106">
        <f>SUM(E47:E49)</f>
        <v>0</v>
      </c>
      <c r="H50" s="112">
        <f>SUM(H47:H49)</f>
        <v>0</v>
      </c>
      <c r="J50" s="1185"/>
    </row>
    <row r="51" spans="2:10" s="60" customFormat="1" ht="21" thickTop="1" thickBot="1" x14ac:dyDescent="0.3">
      <c r="C51" s="61"/>
      <c r="D51" s="62" t="s">
        <v>221</v>
      </c>
      <c r="E51" s="107">
        <v>0</v>
      </c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0</v>
      </c>
      <c r="G52" s="63"/>
      <c r="H52" s="114">
        <f>SUM(H50:H51)</f>
        <v>0</v>
      </c>
      <c r="I52" s="64"/>
      <c r="J52" s="1185"/>
    </row>
    <row r="53" spans="2:10" s="57" customFormat="1" ht="19" x14ac:dyDescent="0.25">
      <c r="D53" s="201" t="s">
        <v>278</v>
      </c>
      <c r="E53" s="202">
        <v>0</v>
      </c>
      <c r="F53" s="203"/>
      <c r="G53" s="204"/>
      <c r="H53" s="115">
        <v>0</v>
      </c>
      <c r="I53" s="66"/>
      <c r="J53" s="1185"/>
    </row>
    <row r="54" spans="2:10" s="57" customFormat="1" ht="19" x14ac:dyDescent="0.25">
      <c r="D54" s="71" t="s">
        <v>225</v>
      </c>
      <c r="E54" s="109">
        <f>E53-E52</f>
        <v>0</v>
      </c>
      <c r="G54" s="65"/>
      <c r="H54" s="116">
        <f>H53-H52</f>
        <v>0</v>
      </c>
      <c r="I54" s="66"/>
      <c r="J54" s="1185"/>
    </row>
    <row r="55" spans="2:10" s="57" customFormat="1" ht="20" thickBot="1" x14ac:dyDescent="0.3">
      <c r="D55" s="66" t="s">
        <v>226</v>
      </c>
      <c r="E55" s="105" t="e">
        <f>(D5*15)/(E52)</f>
        <v>#DIV/0!</v>
      </c>
      <c r="H55" s="117" t="e">
        <f>15*D8/H52</f>
        <v>#DIV/0!</v>
      </c>
      <c r="J55" s="1186"/>
    </row>
  </sheetData>
  <sheetProtection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A8D3FB6-FA79-488E-8C23-545E5CD97701}">
          <x14:formula1>
            <xm:f>'Data Elements'!$A$3:$A$101</xm:f>
          </x14:formula1>
          <xm:sqref>C36</xm:sqref>
        </x14:dataValidation>
        <x14:dataValidation type="list" allowBlank="1" showInputMessage="1" showErrorMessage="1" xr:uid="{4AED8D6B-67E3-4128-A82C-A99CA558B1AD}">
          <x14:formula1>
            <xm:f>'Data Elements'!$F$3:$F$31</xm:f>
          </x14:formula1>
          <xm:sqref>D2</xm:sqref>
        </x14:dataValidation>
        <x14:dataValidation type="list" allowBlank="1" showInputMessage="1" showErrorMessage="1" xr:uid="{5A6F3427-9168-4AA2-AC70-07922BACC898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26B3-CDE0-4673-A94F-91F0744A7FF7}">
  <sheetPr>
    <tabColor rgb="FF000000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4" width="31.6640625" customWidth="1"/>
    <col min="5" max="5" width="28.5" bestFit="1" customWidth="1"/>
    <col min="6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1507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 t="e">
        <f>VLOOKUP($D$2,Overview!$A$4:$AC$31,20,0)</f>
        <v>#N/A</v>
      </c>
      <c r="E5" s="11"/>
    </row>
    <row r="6" spans="1:10" ht="17" thickBot="1" x14ac:dyDescent="0.25">
      <c r="B6" s="1179"/>
      <c r="C6" s="14" t="s">
        <v>9</v>
      </c>
      <c r="D6" s="15" t="e">
        <f>VLOOKUP($D$2,Overview!$A$4:$AC$31,18,0)</f>
        <v>#N/A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 t="e">
        <f>VLOOKUP($D$2,Overview!$A$4:$AC$31,28,0)</f>
        <v>#N/A</v>
      </c>
    </row>
    <row r="9" spans="1:10" ht="17" thickBot="1" x14ac:dyDescent="0.25">
      <c r="B9" s="1182"/>
      <c r="C9" s="19" t="s">
        <v>10</v>
      </c>
      <c r="D9" s="20" t="e">
        <f>VLOOKUP($D$2,Overview!$A$4:$AC$31,26,0)</f>
        <v>#N/A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3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 t="e">
        <f t="shared" si="3"/>
        <v>#N/A</v>
      </c>
      <c r="C49" s="58"/>
      <c r="D49" s="58" t="s">
        <v>219</v>
      </c>
      <c r="E49" s="105" t="e">
        <f>($D$6-(E47/12))*15</f>
        <v>#N/A</v>
      </c>
      <c r="H49" s="105" t="e">
        <f>($D$9-(H47/12))*15</f>
        <v>#N/A</v>
      </c>
      <c r="J49" s="1185"/>
    </row>
    <row r="50" spans="2:10" s="57" customFormat="1" ht="19" x14ac:dyDescent="0.25">
      <c r="B50" s="230" t="e">
        <f>SUM(E50:H50)</f>
        <v>#N/A</v>
      </c>
      <c r="C50" s="59"/>
      <c r="D50" s="59" t="s">
        <v>220</v>
      </c>
      <c r="E50" s="106" t="e">
        <f>SUM(E47:E49)-E48</f>
        <v>#N/A</v>
      </c>
      <c r="H50" s="106" t="e">
        <f>SUM(H47:H49)-H48</f>
        <v>#N/A</v>
      </c>
      <c r="J50" s="1185"/>
    </row>
    <row r="51" spans="2:10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 t="e">
        <f>SUM(E50:E51)</f>
        <v>#N/A</v>
      </c>
      <c r="G52" s="63"/>
      <c r="H52" s="114" t="e">
        <f>SUM(H50:H51)</f>
        <v>#N/A</v>
      </c>
      <c r="I52" s="64"/>
      <c r="J52" s="1185"/>
    </row>
    <row r="53" spans="2:10" s="57" customFormat="1" ht="19" x14ac:dyDescent="0.25">
      <c r="D53" s="201" t="s">
        <v>278</v>
      </c>
      <c r="E53" s="202"/>
      <c r="F53" s="203"/>
      <c r="G53" s="204"/>
      <c r="H53" s="115"/>
      <c r="I53" s="66"/>
      <c r="J53" s="1185"/>
    </row>
    <row r="54" spans="2:10" s="57" customFormat="1" ht="19" x14ac:dyDescent="0.25">
      <c r="D54" s="71" t="s">
        <v>225</v>
      </c>
      <c r="E54" s="109" t="e">
        <f>E53-E52</f>
        <v>#N/A</v>
      </c>
      <c r="G54" s="65"/>
      <c r="H54" s="116" t="e">
        <f>H53-H52</f>
        <v>#N/A</v>
      </c>
      <c r="I54" s="66"/>
      <c r="J54" s="1185"/>
    </row>
    <row r="55" spans="2:10" s="57" customFormat="1" ht="20" thickBot="1" x14ac:dyDescent="0.3">
      <c r="D55" s="66" t="s">
        <v>226</v>
      </c>
      <c r="E55" s="105" t="e">
        <f>(D5*15)/(E52)</f>
        <v>#N/A</v>
      </c>
      <c r="H55" s="117" t="e">
        <f>15*D8/H52</f>
        <v>#N/A</v>
      </c>
      <c r="J55" s="1186"/>
    </row>
  </sheetData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C270F3-4815-45FD-A5E6-EDB6C5060035}">
          <x14:formula1>
            <xm:f>'Data Elements'!$A$3:$A$101</xm:f>
          </x14:formula1>
          <xm:sqref>C36</xm:sqref>
        </x14:dataValidation>
        <x14:dataValidation type="list" allowBlank="1" showInputMessage="1" showErrorMessage="1" xr:uid="{423B8FC0-2C16-4186-9B4C-EA247B67839B}">
          <x14:formula1>
            <xm:f>'Data Elements'!$F$3:$F$31</xm:f>
          </x14:formula1>
          <xm:sqref>D2</xm:sqref>
        </x14:dataValidation>
        <x14:dataValidation type="list" allowBlank="1" showInputMessage="1" showErrorMessage="1" xr:uid="{7D6DFA33-E8A8-41D8-BE16-528B2286CBDD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48B9-1351-4CEF-B05E-D5448F15D1C3}">
  <sheetPr>
    <tabColor theme="1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75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VLOOKUP($D$2,Overview!$A$5:$AC$31,17,0)</f>
        <v>0</v>
      </c>
      <c r="E5" s="11"/>
    </row>
    <row r="6" spans="1:10" ht="17" thickBot="1" x14ac:dyDescent="0.25">
      <c r="B6" s="1179"/>
      <c r="C6" s="14" t="s">
        <v>9</v>
      </c>
      <c r="D6" s="15">
        <f>VLOOKUP($D$2,Overview!$A$5:$AC$31,15,0)</f>
        <v>0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VLOOKUP($D$2,Overview!$A$5:$AC$31,25,0)</f>
        <v>0</v>
      </c>
    </row>
    <row r="9" spans="1:10" ht="17" thickBot="1" x14ac:dyDescent="0.25">
      <c r="B9" s="1182"/>
      <c r="C9" s="19" t="s">
        <v>10</v>
      </c>
      <c r="D9" s="20">
        <f>VLOOKUP($D$2,Overview!$A$5:$AC$31,23,0)</f>
        <v>0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I44" si="1">SUM(E40:E43)</f>
        <v>0</v>
      </c>
      <c r="F44" s="128">
        <f t="shared" si="1"/>
        <v>0</v>
      </c>
      <c r="G44" s="129">
        <f t="shared" si="1"/>
        <v>0</v>
      </c>
      <c r="H44" s="129">
        <f t="shared" si="1"/>
        <v>0</v>
      </c>
      <c r="I44" s="129">
        <f t="shared" si="1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2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2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>
        <f t="shared" si="2"/>
        <v>0</v>
      </c>
      <c r="C49" s="58"/>
      <c r="D49" s="58" t="s">
        <v>219</v>
      </c>
      <c r="E49" s="105">
        <f>((D6-D4)*15)-D44</f>
        <v>0</v>
      </c>
      <c r="H49" s="111">
        <f>((D9-D7)*15)-G44</f>
        <v>0</v>
      </c>
      <c r="J49" s="1185"/>
    </row>
    <row r="50" spans="2:10" s="57" customFormat="1" ht="19" x14ac:dyDescent="0.25">
      <c r="B50" s="230">
        <f>SUM(E50:H50)</f>
        <v>0</v>
      </c>
      <c r="C50" s="59"/>
      <c r="D50" s="59" t="s">
        <v>220</v>
      </c>
      <c r="E50" s="106">
        <f>SUM(E47:E49)</f>
        <v>0</v>
      </c>
      <c r="H50" s="112">
        <f>SUM(H47:H49)</f>
        <v>0</v>
      </c>
      <c r="J50" s="1185"/>
    </row>
    <row r="51" spans="2:10" s="60" customFormat="1" ht="21" thickTop="1" thickBot="1" x14ac:dyDescent="0.3">
      <c r="C51" s="61"/>
      <c r="D51" s="62" t="s">
        <v>221</v>
      </c>
      <c r="E51" s="107">
        <v>0</v>
      </c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0</v>
      </c>
      <c r="G52" s="63"/>
      <c r="H52" s="114">
        <f>SUM(H50:H51)</f>
        <v>0</v>
      </c>
      <c r="I52" s="64"/>
      <c r="J52" s="1185"/>
    </row>
    <row r="53" spans="2:10" s="57" customFormat="1" ht="19" x14ac:dyDescent="0.25">
      <c r="D53" s="201" t="s">
        <v>278</v>
      </c>
      <c r="E53" s="202">
        <v>0</v>
      </c>
      <c r="F53" s="203"/>
      <c r="G53" s="204"/>
      <c r="H53" s="115">
        <v>0</v>
      </c>
      <c r="I53" s="66"/>
      <c r="J53" s="1185"/>
    </row>
    <row r="54" spans="2:10" s="57" customFormat="1" ht="19" x14ac:dyDescent="0.25">
      <c r="D54" s="71" t="s">
        <v>225</v>
      </c>
      <c r="E54" s="109">
        <f>E53-E52</f>
        <v>0</v>
      </c>
      <c r="G54" s="65"/>
      <c r="H54" s="116">
        <f>H53-H52</f>
        <v>0</v>
      </c>
      <c r="I54" s="66"/>
      <c r="J54" s="1185"/>
    </row>
    <row r="55" spans="2:10" s="57" customFormat="1" ht="20" thickBot="1" x14ac:dyDescent="0.3">
      <c r="D55" s="66" t="s">
        <v>226</v>
      </c>
      <c r="E55" s="105" t="e">
        <f>(D5*15)/(E52)</f>
        <v>#DIV/0!</v>
      </c>
      <c r="H55" s="117" t="e">
        <f>15*D8/H52</f>
        <v>#DIV/0!</v>
      </c>
      <c r="J55" s="1186"/>
    </row>
  </sheetData>
  <sheetProtection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418383-8395-4BFF-8713-5F8E80FCC3AF}">
          <x14:formula1>
            <xm:f>'Data Elements'!$F$3:$F$31</xm:f>
          </x14:formula1>
          <xm:sqref>D2</xm:sqref>
        </x14:dataValidation>
        <x14:dataValidation type="list" allowBlank="1" showInputMessage="1" showErrorMessage="1" xr:uid="{2841AB2A-DF1A-475E-BABB-BC61F911B0C0}">
          <x14:formula1>
            <xm:f>'Data Elements'!$A$3:$A$101</xm:f>
          </x14:formula1>
          <xm:sqref>C36</xm:sqref>
        </x14:dataValidation>
        <x14:dataValidation type="list" allowBlank="1" showInputMessage="1" showErrorMessage="1" xr:uid="{E89BE54D-3C39-4302-98BC-5D39073445B0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3115-9670-4876-8FDB-CF0285945553}">
  <sheetPr>
    <tabColor theme="1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4" width="34.6640625" customWidth="1"/>
    <col min="5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58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2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VLOOKUP($D$2,Overview!$A$5:$AC$31,17,0)</f>
        <v>0</v>
      </c>
      <c r="E5" s="11"/>
    </row>
    <row r="6" spans="1:10" ht="17" thickBot="1" x14ac:dyDescent="0.25">
      <c r="B6" s="1179"/>
      <c r="C6" s="14" t="s">
        <v>9</v>
      </c>
      <c r="D6" s="15">
        <f>VLOOKUP($D$2,Overview!$A$5:$AC$31,15,0)</f>
        <v>0</v>
      </c>
    </row>
    <row r="7" spans="1:10" x14ac:dyDescent="0.2">
      <c r="B7" s="1180" t="s">
        <v>186</v>
      </c>
      <c r="C7" s="16" t="s">
        <v>187</v>
      </c>
      <c r="D7" s="173">
        <v>2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VLOOKUP($D$2,Overview!$A$5:$AC$31,25,0)</f>
        <v>0</v>
      </c>
    </row>
    <row r="9" spans="1:10" ht="17" thickBot="1" x14ac:dyDescent="0.25">
      <c r="B9" s="1182"/>
      <c r="C9" s="19" t="s">
        <v>10</v>
      </c>
      <c r="D9" s="20">
        <f>VLOOKUP($D$2,Overview!$A$5:$AC$31,23,0)</f>
        <v>0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27" t="s">
        <v>499</v>
      </c>
      <c r="D21" s="121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227" t="s">
        <v>501</v>
      </c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I44" si="1">SUM(E40:E43)</f>
        <v>0</v>
      </c>
      <c r="F44" s="128">
        <f t="shared" si="1"/>
        <v>0</v>
      </c>
      <c r="G44" s="129">
        <f t="shared" si="1"/>
        <v>0</v>
      </c>
      <c r="H44" s="129">
        <f t="shared" si="1"/>
        <v>0</v>
      </c>
      <c r="I44" s="129">
        <f t="shared" si="1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2">SUM(E47:H47)</f>
        <v>48</v>
      </c>
      <c r="D47" s="58" t="s">
        <v>217</v>
      </c>
      <c r="E47" s="104">
        <f>(D4*12)-D37-E37-F37</f>
        <v>24</v>
      </c>
      <c r="H47" s="110">
        <f>(D7*12)-G37-H37-I37</f>
        <v>24</v>
      </c>
      <c r="J47" s="1185" t="s">
        <v>386</v>
      </c>
    </row>
    <row r="48" spans="2:10" s="57" customFormat="1" ht="19" x14ac:dyDescent="0.25">
      <c r="B48" s="231">
        <f t="shared" si="2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>
        <f t="shared" si="2"/>
        <v>-60</v>
      </c>
      <c r="C49" s="58"/>
      <c r="D49" s="58" t="s">
        <v>219</v>
      </c>
      <c r="E49" s="105">
        <f>((D6-D4)*15)-D44</f>
        <v>-30</v>
      </c>
      <c r="H49" s="111">
        <f>((D9-D7)*15)-G44</f>
        <v>-30</v>
      </c>
      <c r="J49" s="1185"/>
    </row>
    <row r="50" spans="2:10" s="57" customFormat="1" ht="19" x14ac:dyDescent="0.25">
      <c r="B50" s="230">
        <f>SUM(E50:H50)</f>
        <v>-12</v>
      </c>
      <c r="C50" s="59"/>
      <c r="D50" s="59" t="s">
        <v>220</v>
      </c>
      <c r="E50" s="106">
        <f>SUM(E47:E49)</f>
        <v>-6</v>
      </c>
      <c r="H50" s="112">
        <f>SUM(H47:H49)</f>
        <v>-6</v>
      </c>
      <c r="J50" s="1185"/>
    </row>
    <row r="51" spans="2:10" s="60" customFormat="1" ht="21" thickTop="1" thickBot="1" x14ac:dyDescent="0.3">
      <c r="C51" s="61"/>
      <c r="D51" s="62" t="s">
        <v>221</v>
      </c>
      <c r="E51" s="107">
        <v>0</v>
      </c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-6</v>
      </c>
      <c r="G52" s="63"/>
      <c r="H52" s="114">
        <f>SUM(H50:H51)</f>
        <v>-6</v>
      </c>
      <c r="I52" s="64"/>
      <c r="J52" s="1185"/>
    </row>
    <row r="53" spans="2:10" s="57" customFormat="1" ht="19" x14ac:dyDescent="0.25">
      <c r="D53" s="201" t="s">
        <v>278</v>
      </c>
      <c r="E53" s="202">
        <v>0</v>
      </c>
      <c r="F53" s="203"/>
      <c r="G53" s="204"/>
      <c r="H53" s="115">
        <v>0</v>
      </c>
      <c r="I53" s="66"/>
      <c r="J53" s="1185"/>
    </row>
    <row r="54" spans="2:10" s="57" customFormat="1" ht="19" x14ac:dyDescent="0.25">
      <c r="D54" s="71" t="s">
        <v>225</v>
      </c>
      <c r="E54" s="109">
        <f>E53-E52</f>
        <v>6</v>
      </c>
      <c r="G54" s="65"/>
      <c r="H54" s="116">
        <f>H53-H52</f>
        <v>6</v>
      </c>
      <c r="I54" s="66"/>
      <c r="J54" s="1185"/>
    </row>
    <row r="55" spans="2:10" s="57" customFormat="1" ht="20" thickBot="1" x14ac:dyDescent="0.3">
      <c r="D55" s="66" t="s">
        <v>226</v>
      </c>
      <c r="E55" s="105">
        <f>(D5*15)/(E52)</f>
        <v>0</v>
      </c>
      <c r="H55" s="117">
        <f>15*D8/H52</f>
        <v>0</v>
      </c>
      <c r="J55" s="1186"/>
    </row>
  </sheetData>
  <sheetProtection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ED5066D-672B-4B6B-AD55-7CC6412A0912}">
          <x14:formula1>
            <xm:f>'Data Elements'!$A$3:$A$101</xm:f>
          </x14:formula1>
          <xm:sqref>C36</xm:sqref>
        </x14:dataValidation>
        <x14:dataValidation type="list" allowBlank="1" showInputMessage="1" showErrorMessage="1" xr:uid="{BE28F817-CE5F-448A-A6C6-09B6BBC424DF}">
          <x14:formula1>
            <xm:f>'Data Elements'!$F$3:$F$31</xm:f>
          </x14:formula1>
          <xm:sqref>D2</xm:sqref>
        </x14:dataValidation>
        <x14:dataValidation type="list" allowBlank="1" showInputMessage="1" showErrorMessage="1" xr:uid="{1E940981-E64E-4FE6-BA88-393C73C6D7D9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C592-390F-4D16-9A75-641D9E5454B0}">
  <sheetPr>
    <tabColor theme="1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72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VLOOKUP($D$2,Overview!$A$5:$AC$31,17,0)</f>
        <v>0</v>
      </c>
      <c r="E5" s="11"/>
    </row>
    <row r="6" spans="1:10" ht="17" thickBot="1" x14ac:dyDescent="0.25">
      <c r="B6" s="1179"/>
      <c r="C6" s="14" t="s">
        <v>9</v>
      </c>
      <c r="D6" s="15">
        <f>VLOOKUP($D$2,Overview!$A$5:$AC$31,15,0)</f>
        <v>0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VLOOKUP($D$2,Overview!$A$5:$AC$31,25,0)</f>
        <v>0</v>
      </c>
    </row>
    <row r="9" spans="1:10" ht="17" thickBot="1" x14ac:dyDescent="0.25">
      <c r="B9" s="1182"/>
      <c r="C9" s="19" t="s">
        <v>10</v>
      </c>
      <c r="D9" s="20">
        <f>VLOOKUP($D$2,Overview!$A$5:$AC$31,23,0)</f>
        <v>0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I44" si="1">SUM(E40:E43)</f>
        <v>0</v>
      </c>
      <c r="F44" s="128">
        <f t="shared" si="1"/>
        <v>0</v>
      </c>
      <c r="G44" s="129">
        <f t="shared" si="1"/>
        <v>0</v>
      </c>
      <c r="H44" s="129">
        <f t="shared" si="1"/>
        <v>0</v>
      </c>
      <c r="I44" s="129">
        <f t="shared" si="1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2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2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>
        <f t="shared" si="2"/>
        <v>0</v>
      </c>
      <c r="C49" s="58"/>
      <c r="D49" s="58" t="s">
        <v>219</v>
      </c>
      <c r="E49" s="105">
        <f>((D6-D4)*15)-D44</f>
        <v>0</v>
      </c>
      <c r="H49" s="111">
        <f>((D9-D7)*15)-G44</f>
        <v>0</v>
      </c>
      <c r="J49" s="1185"/>
    </row>
    <row r="50" spans="2:10" s="57" customFormat="1" ht="19" x14ac:dyDescent="0.25">
      <c r="B50" s="230">
        <f>SUM(E50:H50)</f>
        <v>0</v>
      </c>
      <c r="C50" s="59"/>
      <c r="D50" s="59" t="s">
        <v>220</v>
      </c>
      <c r="E50" s="106">
        <f>SUM(E47:E49)</f>
        <v>0</v>
      </c>
      <c r="H50" s="112">
        <f>SUM(H47:H49)</f>
        <v>0</v>
      </c>
      <c r="J50" s="1185"/>
    </row>
    <row r="51" spans="2:10" s="60" customFormat="1" ht="21" thickTop="1" thickBot="1" x14ac:dyDescent="0.3">
      <c r="C51" s="61"/>
      <c r="D51" s="62" t="s">
        <v>221</v>
      </c>
      <c r="E51" s="107">
        <v>0</v>
      </c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0</v>
      </c>
      <c r="G52" s="63"/>
      <c r="H52" s="114">
        <f>SUM(H50:H51)</f>
        <v>0</v>
      </c>
      <c r="I52" s="64"/>
      <c r="J52" s="1185"/>
    </row>
    <row r="53" spans="2:10" s="57" customFormat="1" ht="19" x14ac:dyDescent="0.25">
      <c r="D53" s="201" t="s">
        <v>278</v>
      </c>
      <c r="E53" s="202">
        <v>0</v>
      </c>
      <c r="F53" s="203"/>
      <c r="G53" s="204"/>
      <c r="H53" s="115">
        <v>0</v>
      </c>
      <c r="I53" s="66"/>
      <c r="J53" s="1185"/>
    </row>
    <row r="54" spans="2:10" s="57" customFormat="1" ht="19" x14ac:dyDescent="0.25">
      <c r="D54" s="71" t="s">
        <v>225</v>
      </c>
      <c r="E54" s="109">
        <f>E53-E52</f>
        <v>0</v>
      </c>
      <c r="G54" s="65"/>
      <c r="H54" s="116">
        <f>H53-H52</f>
        <v>0</v>
      </c>
      <c r="I54" s="66"/>
      <c r="J54" s="1185"/>
    </row>
    <row r="55" spans="2:10" s="57" customFormat="1" ht="20" thickBot="1" x14ac:dyDescent="0.3">
      <c r="D55" s="66" t="s">
        <v>226</v>
      </c>
      <c r="E55" s="105" t="e">
        <f>(D5*15)/(E52)</f>
        <v>#DIV/0!</v>
      </c>
      <c r="H55" s="117" t="e">
        <f>15*D8/H52</f>
        <v>#DIV/0!</v>
      </c>
      <c r="J55" s="1186"/>
    </row>
  </sheetData>
  <sheetProtection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0692B6-E73F-475D-82C2-2E5D1F1F5C95}">
          <x14:formula1>
            <xm:f>'Data Elements'!$F$3:$F$31</xm:f>
          </x14:formula1>
          <xm:sqref>D2</xm:sqref>
        </x14:dataValidation>
        <x14:dataValidation type="list" allowBlank="1" showInputMessage="1" showErrorMessage="1" xr:uid="{2B013AED-79D5-48D8-AFB2-22C38981EF2A}">
          <x14:formula1>
            <xm:f>'Data Elements'!$A$3:$A$101</xm:f>
          </x14:formula1>
          <xm:sqref>C36</xm:sqref>
        </x14:dataValidation>
        <x14:dataValidation type="list" allowBlank="1" showInputMessage="1" showErrorMessage="1" xr:uid="{405E70AF-4E1D-4713-9158-BDD8323ADC76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7138-1886-473F-BF7E-5B101C4FFC31}">
  <sheetPr>
    <tabColor theme="1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50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64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VLOOKUP($D$2,Overview!$A$5:$AC$31,17,0)</f>
        <v>0</v>
      </c>
      <c r="E5" s="11"/>
    </row>
    <row r="6" spans="1:10" ht="17" thickBot="1" x14ac:dyDescent="0.25">
      <c r="B6" s="1179"/>
      <c r="C6" s="14" t="s">
        <v>9</v>
      </c>
      <c r="D6" s="15">
        <f>VLOOKUP($D$2,Overview!$A$5:$AC$31,15,0)</f>
        <v>0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VLOOKUP($D$2,Overview!$A$5:$AC$31,25,0)</f>
        <v>0</v>
      </c>
    </row>
    <row r="9" spans="1:10" ht="17" thickBot="1" x14ac:dyDescent="0.25">
      <c r="B9" s="1182"/>
      <c r="C9" s="19" t="s">
        <v>10</v>
      </c>
      <c r="D9" s="20">
        <f>VLOOKUP($D$2,Overview!$A$5:$AC$31,23,0)</f>
        <v>0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I44" si="1">SUM(E40:E43)</f>
        <v>0</v>
      </c>
      <c r="F44" s="128">
        <f t="shared" si="1"/>
        <v>0</v>
      </c>
      <c r="G44" s="129">
        <f t="shared" si="1"/>
        <v>0</v>
      </c>
      <c r="H44" s="129">
        <f t="shared" si="1"/>
        <v>0</v>
      </c>
      <c r="I44" s="129">
        <f t="shared" si="1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2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2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>
        <f t="shared" si="2"/>
        <v>0</v>
      </c>
      <c r="C49" s="58"/>
      <c r="D49" s="58" t="s">
        <v>219</v>
      </c>
      <c r="E49" s="105">
        <f>((D6-D4)*15)-D44</f>
        <v>0</v>
      </c>
      <c r="H49" s="111">
        <f>((D9-D7)*15)-G44</f>
        <v>0</v>
      </c>
      <c r="J49" s="1185"/>
    </row>
    <row r="50" spans="2:10" s="57" customFormat="1" ht="19" x14ac:dyDescent="0.25">
      <c r="B50" s="230">
        <f>SUM(E50:H50)</f>
        <v>0</v>
      </c>
      <c r="C50" s="59"/>
      <c r="D50" s="59" t="s">
        <v>220</v>
      </c>
      <c r="E50" s="106">
        <f>SUM(E47:E49)</f>
        <v>0</v>
      </c>
      <c r="H50" s="112">
        <f>SUM(H47:H49)</f>
        <v>0</v>
      </c>
      <c r="J50" s="1185"/>
    </row>
    <row r="51" spans="2:10" s="60" customFormat="1" ht="21" thickTop="1" thickBot="1" x14ac:dyDescent="0.3">
      <c r="C51" s="61"/>
      <c r="D51" s="62" t="s">
        <v>221</v>
      </c>
      <c r="E51" s="107">
        <v>0</v>
      </c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0</v>
      </c>
      <c r="G52" s="63"/>
      <c r="H52" s="114">
        <f>SUM(H50:H51)</f>
        <v>0</v>
      </c>
      <c r="I52" s="64"/>
      <c r="J52" s="1185"/>
    </row>
    <row r="53" spans="2:10" s="57" customFormat="1" ht="19" x14ac:dyDescent="0.25">
      <c r="D53" s="201" t="s">
        <v>278</v>
      </c>
      <c r="E53" s="202">
        <v>0</v>
      </c>
      <c r="F53" s="203"/>
      <c r="G53" s="204"/>
      <c r="H53" s="115">
        <v>0</v>
      </c>
      <c r="I53" s="66"/>
      <c r="J53" s="1185"/>
    </row>
    <row r="54" spans="2:10" s="57" customFormat="1" ht="19" x14ac:dyDescent="0.25">
      <c r="D54" s="71" t="s">
        <v>225</v>
      </c>
      <c r="E54" s="109">
        <f>E53-E52</f>
        <v>0</v>
      </c>
      <c r="G54" s="65"/>
      <c r="H54" s="116">
        <f>H53-H52</f>
        <v>0</v>
      </c>
      <c r="I54" s="66"/>
      <c r="J54" s="1185"/>
    </row>
    <row r="55" spans="2:10" s="57" customFormat="1" ht="20" thickBot="1" x14ac:dyDescent="0.3">
      <c r="D55" s="66" t="s">
        <v>226</v>
      </c>
      <c r="E55" s="105" t="e">
        <f>(D5*15)/(E52)</f>
        <v>#DIV/0!</v>
      </c>
      <c r="H55" s="117" t="e">
        <f>15*D8/H52</f>
        <v>#DIV/0!</v>
      </c>
      <c r="J55" s="1186"/>
    </row>
  </sheetData>
  <sheetProtection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9CDD35B-40AC-4DA4-B290-620C2E357AF3}">
          <x14:formula1>
            <xm:f>'Data Elements'!$A$3:$A$101</xm:f>
          </x14:formula1>
          <xm:sqref>C36</xm:sqref>
        </x14:dataValidation>
        <x14:dataValidation type="list" allowBlank="1" showInputMessage="1" showErrorMessage="1" xr:uid="{E64B6603-0FA2-40BB-8A29-6A51B230DA1D}">
          <x14:formula1>
            <xm:f>'Data Elements'!$F$3:$F$31</xm:f>
          </x14:formula1>
          <xm:sqref>D2</xm:sqref>
        </x14:dataValidation>
        <x14:dataValidation type="list" allowBlank="1" showInputMessage="1" showErrorMessage="1" xr:uid="{A59BBCF6-2A5B-4900-8C99-DB5DCF0DA99A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0634-838C-467D-B12F-AC65345016A8}">
  <sheetPr>
    <tabColor theme="1"/>
  </sheetPr>
  <dimension ref="A1:J55"/>
  <sheetViews>
    <sheetView workbookViewId="0">
      <selection activeCell="H50" sqref="H50"/>
    </sheetView>
    <sheetView workbookViewId="1"/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49.1640625" bestFit="1" customWidth="1"/>
    <col min="4" max="9" width="31.6640625" customWidth="1"/>
    <col min="10" max="10" width="54.1640625" customWidth="1"/>
  </cols>
  <sheetData>
    <row r="1" spans="1:10" s="7" customFormat="1" ht="22" thickBot="1" x14ac:dyDescent="0.3">
      <c r="A1" s="7" t="s">
        <v>179</v>
      </c>
    </row>
    <row r="2" spans="1:10" s="9" customFormat="1" ht="25" thickBot="1" x14ac:dyDescent="0.35">
      <c r="A2" s="1176" t="s">
        <v>181</v>
      </c>
      <c r="B2" s="1176"/>
      <c r="C2" s="1176"/>
      <c r="D2" s="8" t="s">
        <v>70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0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VLOOKUP($D$2,Overview!$A$5:$AC$31,17,0)</f>
        <v>0</v>
      </c>
      <c r="E5" s="11"/>
    </row>
    <row r="6" spans="1:10" ht="17" thickBot="1" x14ac:dyDescent="0.25">
      <c r="B6" s="1179"/>
      <c r="C6" s="14" t="s">
        <v>9</v>
      </c>
      <c r="D6" s="15">
        <f>VLOOKUP($D$2,Overview!$A$5:$AC$31,15,0)</f>
        <v>0</v>
      </c>
    </row>
    <row r="7" spans="1:10" x14ac:dyDescent="0.2">
      <c r="B7" s="1180" t="s">
        <v>186</v>
      </c>
      <c r="C7" s="16" t="s">
        <v>187</v>
      </c>
      <c r="D7" s="173">
        <v>0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VLOOKUP($D$2,Overview!$A$5:$AC$31,25,0)</f>
        <v>0</v>
      </c>
    </row>
    <row r="9" spans="1:10" ht="17" thickBot="1" x14ac:dyDescent="0.25">
      <c r="B9" s="1182"/>
      <c r="C9" s="19" t="s">
        <v>10</v>
      </c>
      <c r="D9" s="20">
        <f>VLOOKUP($D$2,Overview!$A$5:$AC$31,23,0)</f>
        <v>0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37"/>
      <c r="D21" s="118"/>
      <c r="E21" s="118"/>
      <c r="F21" s="118"/>
      <c r="G21" s="119"/>
      <c r="H21" s="119"/>
      <c r="I21" s="120"/>
      <c r="J21" s="35"/>
    </row>
    <row r="22" spans="2:10" x14ac:dyDescent="0.2">
      <c r="B22" s="36">
        <v>2</v>
      </c>
      <c r="C22" s="37"/>
      <c r="D22" s="121"/>
      <c r="E22" s="121"/>
      <c r="F22" s="121"/>
      <c r="G22" s="122"/>
      <c r="H22" s="122"/>
      <c r="I22" s="122"/>
      <c r="J22" s="38"/>
    </row>
    <row r="23" spans="2:10" x14ac:dyDescent="0.2">
      <c r="B23" s="36">
        <v>3</v>
      </c>
      <c r="C23" s="37"/>
      <c r="D23" s="121"/>
      <c r="E23" s="121"/>
      <c r="F23" s="121"/>
      <c r="G23" s="122"/>
      <c r="H23" s="122"/>
      <c r="I23" s="122"/>
      <c r="J23" s="38"/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8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0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I44" si="1">SUM(E40:E43)</f>
        <v>0</v>
      </c>
      <c r="F44" s="128">
        <f t="shared" si="1"/>
        <v>0</v>
      </c>
      <c r="G44" s="129">
        <f t="shared" si="1"/>
        <v>0</v>
      </c>
      <c r="H44" s="129">
        <f t="shared" si="1"/>
        <v>0</v>
      </c>
      <c r="I44" s="129">
        <f t="shared" si="1"/>
        <v>0</v>
      </c>
      <c r="J44" s="53"/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2">SUM(E47:H47)</f>
        <v>0</v>
      </c>
      <c r="D47" s="58" t="s">
        <v>217</v>
      </c>
      <c r="E47" s="104">
        <f>(D4*12)-D37-E37-F37</f>
        <v>0</v>
      </c>
      <c r="H47" s="110">
        <f>(D7*12)-G37-H37-I37</f>
        <v>0</v>
      </c>
      <c r="J47" s="1185" t="s">
        <v>386</v>
      </c>
    </row>
    <row r="48" spans="2:10" s="57" customFormat="1" ht="19" x14ac:dyDescent="0.25">
      <c r="B48" s="231">
        <f t="shared" si="2"/>
        <v>0</v>
      </c>
      <c r="C48" s="58"/>
      <c r="D48" s="58" t="s">
        <v>218</v>
      </c>
      <c r="E48" s="104">
        <f>E37+F37+E44+F44</f>
        <v>0</v>
      </c>
      <c r="H48" s="110">
        <f>H37+I37+H44+I44</f>
        <v>0</v>
      </c>
      <c r="J48" s="1185"/>
    </row>
    <row r="49" spans="2:10" s="57" customFormat="1" ht="19" x14ac:dyDescent="0.25">
      <c r="B49" s="231">
        <f t="shared" si="2"/>
        <v>0</v>
      </c>
      <c r="C49" s="58"/>
      <c r="D49" s="58" t="s">
        <v>219</v>
      </c>
      <c r="E49" s="105">
        <f>((D6-D4)*15)-D44</f>
        <v>0</v>
      </c>
      <c r="H49" s="111">
        <f>((D9-D7)*15)-G44</f>
        <v>0</v>
      </c>
      <c r="J49" s="1185"/>
    </row>
    <row r="50" spans="2:10" s="57" customFormat="1" ht="19" x14ac:dyDescent="0.25">
      <c r="B50" s="230">
        <f>SUM(E50:H50)</f>
        <v>0</v>
      </c>
      <c r="C50" s="59"/>
      <c r="D50" s="59" t="s">
        <v>220</v>
      </c>
      <c r="E50" s="106">
        <f>SUM(E47:E49)</f>
        <v>0</v>
      </c>
      <c r="H50" s="112">
        <f>SUM(H47:H49)</f>
        <v>0</v>
      </c>
      <c r="J50" s="1185"/>
    </row>
    <row r="51" spans="2:10" s="60" customFormat="1" ht="21" thickTop="1" thickBot="1" x14ac:dyDescent="0.3">
      <c r="C51" s="61"/>
      <c r="D51" s="62" t="s">
        <v>221</v>
      </c>
      <c r="E51" s="107">
        <v>0</v>
      </c>
      <c r="H51" s="113">
        <f>-E51</f>
        <v>0</v>
      </c>
      <c r="J51" s="1185"/>
    </row>
    <row r="52" spans="2:10" s="57" customFormat="1" ht="20" thickBot="1" x14ac:dyDescent="0.3">
      <c r="D52" s="63" t="s">
        <v>222</v>
      </c>
      <c r="E52" s="108">
        <f>SUM(E50:E51)</f>
        <v>0</v>
      </c>
      <c r="G52" s="63"/>
      <c r="H52" s="114">
        <f>SUM(H50:H51)</f>
        <v>0</v>
      </c>
      <c r="I52" s="64"/>
      <c r="J52" s="1185"/>
    </row>
    <row r="53" spans="2:10" s="57" customFormat="1" ht="19" x14ac:dyDescent="0.25">
      <c r="D53" s="201" t="s">
        <v>278</v>
      </c>
      <c r="E53" s="202">
        <v>0</v>
      </c>
      <c r="F53" s="203"/>
      <c r="G53" s="204"/>
      <c r="H53" s="115">
        <v>0</v>
      </c>
      <c r="I53" s="66"/>
      <c r="J53" s="1185"/>
    </row>
    <row r="54" spans="2:10" s="57" customFormat="1" ht="19" x14ac:dyDescent="0.25">
      <c r="D54" s="71" t="s">
        <v>225</v>
      </c>
      <c r="E54" s="109">
        <f>E53-E52</f>
        <v>0</v>
      </c>
      <c r="G54" s="65"/>
      <c r="H54" s="116">
        <f>H53-H52</f>
        <v>0</v>
      </c>
      <c r="I54" s="66"/>
      <c r="J54" s="1185"/>
    </row>
    <row r="55" spans="2:10" s="57" customFormat="1" ht="20" thickBot="1" x14ac:dyDescent="0.3">
      <c r="D55" s="66" t="s">
        <v>226</v>
      </c>
      <c r="E55" s="105" t="e">
        <f>(D5*15)/(E52)</f>
        <v>#DIV/0!</v>
      </c>
      <c r="H55" s="117" t="e">
        <f>15*D8/H52</f>
        <v>#DIV/0!</v>
      </c>
      <c r="J55" s="1186"/>
    </row>
  </sheetData>
  <sheetProtection sheet="1" objects="1" scenarios="1"/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9FF684-70B1-4FD4-AD6C-68F2DA6859A5}">
          <x14:formula1>
            <xm:f>'Data Elements'!$A$3:$A$101</xm:f>
          </x14:formula1>
          <xm:sqref>C36</xm:sqref>
        </x14:dataValidation>
        <x14:dataValidation type="list" allowBlank="1" showInputMessage="1" showErrorMessage="1" xr:uid="{36C4DBBB-2AE3-4949-9972-0450BEEC80C9}">
          <x14:formula1>
            <xm:f>'Data Elements'!$F$3:$F$31</xm:f>
          </x14:formula1>
          <xm:sqref>D2</xm:sqref>
        </x14:dataValidation>
        <x14:dataValidation type="list" allowBlank="1" showInputMessage="1" showErrorMessage="1" xr:uid="{63E756F0-B6D5-46BB-90A7-4A197C451EBC}">
          <x14:formula1>
            <xm:f>'Data Elements'!$A$3:$A$179</xm:f>
          </x14:formula1>
          <xm:sqref>C21:C35 C40:C43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74AE-359D-49BC-8CE9-98AFABA6F803}">
  <dimension ref="A1"/>
  <sheetViews>
    <sheetView workbookViewId="0">
      <selection activeCell="H50" sqref="H50"/>
    </sheetView>
    <sheetView workbookViewId="1"/>
  </sheetViews>
  <sheetFormatPr baseColWidth="10" defaultColWidth="8.83203125" defaultRowHeight="16" x14ac:dyDescent="0.2"/>
  <sheetData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6E8D9-D0A7-46A0-9E02-69A295943DAB}">
  <dimension ref="A1"/>
  <sheetViews>
    <sheetView workbookViewId="0"/>
    <sheetView workbookViewId="1"/>
  </sheetViews>
  <sheetFormatPr baseColWidth="10" defaultColWidth="8.83203125" defaultRowHeight="16" x14ac:dyDescent="0.2"/>
  <sheetData/>
  <sheetProtection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crobat Document" shapeId="3174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635000</xdr:colOff>
                <xdr:row>30</xdr:row>
                <xdr:rowOff>101600</xdr:rowOff>
              </to>
            </anchor>
          </objectPr>
        </oleObject>
      </mc:Choice>
      <mc:Fallback>
        <oleObject progId="Acrobat Document" shapeId="317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</sheetPr>
  <dimension ref="A1:R72"/>
  <sheetViews>
    <sheetView tabSelected="1" topLeftCell="A40" workbookViewId="0">
      <selection activeCell="H50" sqref="H50"/>
    </sheetView>
    <sheetView topLeftCell="D24" workbookViewId="1">
      <selection activeCell="F54" sqref="F54"/>
    </sheetView>
  </sheetViews>
  <sheetFormatPr baseColWidth="10" defaultColWidth="10.6640625" defaultRowHeight="16" x14ac:dyDescent="0.2"/>
  <cols>
    <col min="1" max="1" width="3.1640625" customWidth="1"/>
    <col min="2" max="2" width="22.6640625" customWidth="1"/>
    <col min="3" max="3" width="34.1640625" customWidth="1"/>
    <col min="4" max="4" width="22.6640625" customWidth="1"/>
    <col min="5" max="8" width="19.6640625" customWidth="1"/>
    <col min="9" max="9" width="19.6640625" style="886" customWidth="1"/>
    <col min="10" max="10" width="41.6640625" customWidth="1"/>
    <col min="12" max="12" width="32.33203125" customWidth="1"/>
  </cols>
  <sheetData>
    <row r="1" spans="1:10" s="7" customFormat="1" ht="21" x14ac:dyDescent="0.25">
      <c r="A1" s="7" t="s">
        <v>179</v>
      </c>
      <c r="H1" t="s">
        <v>180</v>
      </c>
      <c r="I1" s="886">
        <v>0</v>
      </c>
    </row>
    <row r="2" spans="1:10" s="9" customFormat="1" ht="24" x14ac:dyDescent="0.3">
      <c r="A2" s="1176" t="s">
        <v>181</v>
      </c>
      <c r="B2" s="1176"/>
      <c r="C2" s="1176"/>
      <c r="D2" s="8" t="s">
        <v>51</v>
      </c>
      <c r="I2" s="885"/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3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86.100000000000009</v>
      </c>
      <c r="E5" s="11"/>
    </row>
    <row r="6" spans="1:10" x14ac:dyDescent="0.2">
      <c r="B6" s="1179"/>
      <c r="C6" s="14" t="s">
        <v>9</v>
      </c>
      <c r="D6" s="15">
        <f>VLOOKUP($D$2,Overview!$A$4:$AC$31,18,0)</f>
        <v>4.0046511627906982</v>
      </c>
    </row>
    <row r="7" spans="1:10" x14ac:dyDescent="0.2">
      <c r="B7" s="1180" t="s">
        <v>186</v>
      </c>
      <c r="C7" s="16" t="s">
        <v>187</v>
      </c>
      <c r="D7" s="173">
        <v>3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77.899999999999991</v>
      </c>
    </row>
    <row r="9" spans="1:10" x14ac:dyDescent="0.2">
      <c r="B9" s="1182"/>
      <c r="C9" s="19" t="s">
        <v>10</v>
      </c>
      <c r="D9" s="20">
        <f>VLOOKUP($D$2,Overview!$A$4:$AC$31,26,0)</f>
        <v>3.6232558139534881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887"/>
      <c r="J15" s="23"/>
    </row>
    <row r="16" spans="1:10" ht="19" x14ac:dyDescent="0.25">
      <c r="B16" s="24"/>
      <c r="C16" s="155" t="s">
        <v>190</v>
      </c>
      <c r="J16" s="25"/>
    </row>
    <row r="17" spans="2:12" ht="16.25" customHeight="1" x14ac:dyDescent="0.2">
      <c r="B17" s="156"/>
      <c r="C17" s="155" t="s">
        <v>191</v>
      </c>
      <c r="J17" s="25"/>
    </row>
    <row r="18" spans="2:12" ht="16.25" customHeight="1" x14ac:dyDescent="0.2">
      <c r="B18" s="156"/>
      <c r="C18" s="155" t="s">
        <v>192</v>
      </c>
      <c r="J18" s="25"/>
    </row>
    <row r="19" spans="2:12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2" s="1" customFormat="1" ht="17" x14ac:dyDescent="0.2">
      <c r="B20" s="29"/>
      <c r="C20" s="882" t="s">
        <v>195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888" t="s">
        <v>197</v>
      </c>
      <c r="J20" s="33" t="s">
        <v>199</v>
      </c>
    </row>
    <row r="21" spans="2:12" x14ac:dyDescent="0.2">
      <c r="B21" s="877">
        <v>1</v>
      </c>
      <c r="C21" s="902" t="s">
        <v>200</v>
      </c>
      <c r="D21" s="1074">
        <v>6</v>
      </c>
      <c r="E21" s="118"/>
      <c r="F21" s="118"/>
      <c r="G21" s="119">
        <v>6</v>
      </c>
      <c r="H21" s="119"/>
      <c r="I21" s="889"/>
      <c r="J21" s="35" t="s">
        <v>201</v>
      </c>
      <c r="K21">
        <v>413700</v>
      </c>
      <c r="L21" t="s">
        <v>202</v>
      </c>
    </row>
    <row r="22" spans="2:12" x14ac:dyDescent="0.2">
      <c r="B22" s="284">
        <v>2</v>
      </c>
      <c r="C22" s="876" t="s">
        <v>203</v>
      </c>
      <c r="D22" s="285"/>
      <c r="E22" s="998">
        <v>3</v>
      </c>
      <c r="F22" s="121"/>
      <c r="G22" s="122"/>
      <c r="H22" s="122"/>
      <c r="I22" s="377"/>
      <c r="J22" s="38" t="s">
        <v>204</v>
      </c>
      <c r="K22" s="886">
        <v>2725854</v>
      </c>
      <c r="L22" t="s">
        <v>205</v>
      </c>
    </row>
    <row r="23" spans="2:12" x14ac:dyDescent="0.2">
      <c r="B23" s="284">
        <v>3</v>
      </c>
      <c r="C23" s="876" t="s">
        <v>206</v>
      </c>
      <c r="D23" s="285"/>
      <c r="E23" s="121"/>
      <c r="F23" s="998">
        <v>12</v>
      </c>
      <c r="G23" s="122"/>
      <c r="H23" s="122"/>
      <c r="I23" s="377">
        <v>3</v>
      </c>
      <c r="J23" s="38" t="s">
        <v>207</v>
      </c>
      <c r="K23" s="886">
        <v>1211068</v>
      </c>
      <c r="L23" t="s">
        <v>208</v>
      </c>
    </row>
    <row r="24" spans="2:12" x14ac:dyDescent="0.2">
      <c r="B24" s="284">
        <v>4</v>
      </c>
      <c r="C24" s="351"/>
      <c r="D24" s="285"/>
      <c r="E24" s="121"/>
      <c r="F24" s="121"/>
      <c r="G24" s="122"/>
      <c r="H24" s="122"/>
      <c r="I24" s="377"/>
      <c r="J24" s="38"/>
    </row>
    <row r="25" spans="2:12" x14ac:dyDescent="0.2">
      <c r="B25" s="284">
        <v>5</v>
      </c>
      <c r="C25" s="351"/>
      <c r="D25" s="285"/>
      <c r="E25" s="121"/>
      <c r="F25" s="121"/>
      <c r="G25" s="122"/>
      <c r="H25" s="122"/>
      <c r="I25" s="377"/>
      <c r="J25" s="38"/>
    </row>
    <row r="26" spans="2:12" x14ac:dyDescent="0.2">
      <c r="B26" s="284">
        <v>6</v>
      </c>
      <c r="C26" s="351"/>
      <c r="D26" s="285"/>
      <c r="E26" s="121"/>
      <c r="F26" s="121"/>
      <c r="G26" s="122"/>
      <c r="H26" s="122"/>
      <c r="I26" s="377"/>
      <c r="J26" s="38"/>
    </row>
    <row r="27" spans="2:12" x14ac:dyDescent="0.2">
      <c r="B27" s="284">
        <v>7</v>
      </c>
      <c r="C27" s="351"/>
      <c r="D27" s="285"/>
      <c r="E27" s="121"/>
      <c r="F27" s="121"/>
      <c r="G27" s="122"/>
      <c r="H27" s="122"/>
      <c r="I27" s="377"/>
      <c r="J27" s="38"/>
    </row>
    <row r="28" spans="2:12" x14ac:dyDescent="0.2">
      <c r="B28" s="284">
        <v>8</v>
      </c>
      <c r="C28" s="351"/>
      <c r="D28" s="285"/>
      <c r="E28" s="121"/>
      <c r="F28" s="121"/>
      <c r="G28" s="122"/>
      <c r="H28" s="122"/>
      <c r="I28" s="377"/>
      <c r="J28" s="38"/>
    </row>
    <row r="29" spans="2:12" x14ac:dyDescent="0.2">
      <c r="B29" s="284">
        <v>9</v>
      </c>
      <c r="C29" s="351"/>
      <c r="D29" s="285"/>
      <c r="E29" s="121"/>
      <c r="F29" s="121"/>
      <c r="G29" s="122"/>
      <c r="H29" s="122"/>
      <c r="I29" s="377"/>
      <c r="J29" s="38"/>
    </row>
    <row r="30" spans="2:12" x14ac:dyDescent="0.2">
      <c r="B30" s="284">
        <v>10</v>
      </c>
      <c r="C30" s="351"/>
      <c r="D30" s="285"/>
      <c r="E30" s="121"/>
      <c r="F30" s="121"/>
      <c r="G30" s="122"/>
      <c r="H30" s="122"/>
      <c r="I30" s="377"/>
      <c r="J30" s="38"/>
    </row>
    <row r="31" spans="2:12" x14ac:dyDescent="0.2">
      <c r="B31" s="284">
        <v>11</v>
      </c>
      <c r="C31" s="351"/>
      <c r="D31" s="285"/>
      <c r="E31" s="121"/>
      <c r="F31" s="121"/>
      <c r="G31" s="122"/>
      <c r="H31" s="122"/>
      <c r="I31" s="377"/>
      <c r="J31" s="38"/>
    </row>
    <row r="32" spans="2:12" x14ac:dyDescent="0.2">
      <c r="B32" s="284">
        <v>12</v>
      </c>
      <c r="C32" s="351"/>
      <c r="D32" s="285"/>
      <c r="E32" s="121"/>
      <c r="F32" s="121"/>
      <c r="G32" s="122"/>
      <c r="H32" s="122"/>
      <c r="I32" s="377"/>
      <c r="J32" s="38"/>
    </row>
    <row r="33" spans="2:10" x14ac:dyDescent="0.2">
      <c r="B33" s="284">
        <v>13</v>
      </c>
      <c r="C33" s="351"/>
      <c r="D33" s="285"/>
      <c r="E33" s="121"/>
      <c r="F33" s="121">
        <v>6</v>
      </c>
      <c r="G33" s="122"/>
      <c r="H33" s="122"/>
      <c r="I33" s="377"/>
      <c r="J33" s="38"/>
    </row>
    <row r="34" spans="2:10" x14ac:dyDescent="0.2">
      <c r="B34" s="284">
        <v>14</v>
      </c>
      <c r="C34" s="351"/>
      <c r="D34" s="285"/>
      <c r="E34" s="121"/>
      <c r="F34" s="121"/>
      <c r="G34" s="122"/>
      <c r="H34" s="122"/>
      <c r="I34" s="377"/>
      <c r="J34" s="38"/>
    </row>
    <row r="35" spans="2:10" x14ac:dyDescent="0.2">
      <c r="B35" s="36">
        <v>15</v>
      </c>
      <c r="C35" s="880"/>
      <c r="D35" s="121"/>
      <c r="E35" s="121"/>
      <c r="F35" s="121"/>
      <c r="G35" s="122"/>
      <c r="H35" s="122"/>
      <c r="I35" s="377"/>
      <c r="J35" s="38"/>
    </row>
    <row r="36" spans="2:10" x14ac:dyDescent="0.2">
      <c r="B36" s="39">
        <v>16</v>
      </c>
      <c r="C36" s="40"/>
      <c r="D36" s="123"/>
      <c r="E36" s="123"/>
      <c r="F36" s="123"/>
      <c r="G36" s="124"/>
      <c r="H36" s="124"/>
      <c r="I36" s="890"/>
      <c r="J36" s="41"/>
    </row>
    <row r="37" spans="2:10" s="11" customFormat="1" ht="19" x14ac:dyDescent="0.25">
      <c r="B37" s="42"/>
      <c r="C37" s="43" t="s">
        <v>209</v>
      </c>
      <c r="D37" s="128">
        <f t="shared" ref="D37:I37" si="0">SUM(D21:D36)</f>
        <v>6</v>
      </c>
      <c r="E37" s="128">
        <f t="shared" si="0"/>
        <v>3</v>
      </c>
      <c r="F37" s="128">
        <f t="shared" si="0"/>
        <v>18</v>
      </c>
      <c r="G37" s="129">
        <f t="shared" si="0"/>
        <v>6</v>
      </c>
      <c r="H37" s="129">
        <f t="shared" si="0"/>
        <v>0</v>
      </c>
      <c r="I37" s="891">
        <f t="shared" si="0"/>
        <v>3</v>
      </c>
      <c r="J37" s="44"/>
    </row>
    <row r="38" spans="2:10" s="11" customFormat="1" ht="6" customHeight="1" x14ac:dyDescent="0.25">
      <c r="B38" s="45"/>
      <c r="C38" s="46"/>
      <c r="D38" s="125"/>
      <c r="E38" s="125"/>
      <c r="F38" s="125"/>
      <c r="G38" s="125"/>
      <c r="H38" s="125"/>
      <c r="I38" s="892"/>
      <c r="J38" s="47"/>
    </row>
    <row r="39" spans="2:10" s="1" customFormat="1" ht="17" x14ac:dyDescent="0.2">
      <c r="B39" s="48"/>
      <c r="C39" s="49" t="s">
        <v>210</v>
      </c>
      <c r="D39" s="382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893" t="s">
        <v>197</v>
      </c>
      <c r="J39" s="52" t="s">
        <v>199</v>
      </c>
    </row>
    <row r="40" spans="2:10" ht="16.25" customHeight="1" x14ac:dyDescent="0.2">
      <c r="B40" s="284">
        <v>1</v>
      </c>
      <c r="C40" s="883" t="s">
        <v>211</v>
      </c>
      <c r="D40" s="285"/>
      <c r="E40" s="121"/>
      <c r="F40" s="121"/>
      <c r="G40" s="126"/>
      <c r="H40" s="126"/>
      <c r="I40" s="894"/>
      <c r="J40" s="38"/>
    </row>
    <row r="41" spans="2:10" x14ac:dyDescent="0.2">
      <c r="B41" s="284">
        <v>2</v>
      </c>
      <c r="C41" s="883" t="s">
        <v>212</v>
      </c>
      <c r="D41" s="285"/>
      <c r="E41" s="121"/>
      <c r="F41" s="121"/>
      <c r="G41" s="126"/>
      <c r="H41" s="126"/>
      <c r="I41" s="894"/>
      <c r="J41" s="38"/>
    </row>
    <row r="42" spans="2:10" x14ac:dyDescent="0.2">
      <c r="B42" s="284">
        <v>3</v>
      </c>
      <c r="C42" s="883" t="s">
        <v>213</v>
      </c>
      <c r="D42" s="285"/>
      <c r="E42" s="121"/>
      <c r="F42" s="121"/>
      <c r="G42" s="126"/>
      <c r="H42" s="126"/>
      <c r="I42" s="894"/>
      <c r="J42" s="38"/>
    </row>
    <row r="43" spans="2:10" x14ac:dyDescent="0.2">
      <c r="B43" s="349">
        <v>4</v>
      </c>
      <c r="C43" s="883"/>
      <c r="D43" s="290"/>
      <c r="E43" s="123"/>
      <c r="F43" s="123"/>
      <c r="G43" s="127"/>
      <c r="H43" s="127"/>
      <c r="I43" s="895"/>
      <c r="J43" s="41"/>
    </row>
    <row r="44" spans="2:10" s="11" customFormat="1" ht="19" x14ac:dyDescent="0.25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891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896"/>
      <c r="J46" s="56" t="s">
        <v>216</v>
      </c>
    </row>
    <row r="47" spans="2:10" s="57" customFormat="1" ht="19" x14ac:dyDescent="0.25">
      <c r="B47" s="231">
        <f>SUM(E47:H47)</f>
        <v>36</v>
      </c>
      <c r="D47" s="58" t="s">
        <v>217</v>
      </c>
      <c r="E47" s="224">
        <f>($D$4*12)-$E$37-$F$37-$D$37</f>
        <v>9</v>
      </c>
      <c r="H47" s="111">
        <f>($D$7*12)-$H$37-$I$37-$G$37</f>
        <v>27</v>
      </c>
      <c r="I47" s="897"/>
      <c r="J47" s="1174" t="s">
        <v>45</v>
      </c>
    </row>
    <row r="48" spans="2:10" s="57" customFormat="1" ht="19" x14ac:dyDescent="0.25">
      <c r="B48" s="231">
        <f>SUM(E48:H48)</f>
        <v>24</v>
      </c>
      <c r="C48" s="58"/>
      <c r="D48" s="58" t="s">
        <v>218</v>
      </c>
      <c r="E48" s="224">
        <f>$E$37+$F$37</f>
        <v>21</v>
      </c>
      <c r="H48" s="111">
        <f>$H$37+$I$37</f>
        <v>3</v>
      </c>
      <c r="I48" s="897"/>
      <c r="J48" s="1174"/>
    </row>
    <row r="49" spans="2:17" s="57" customFormat="1" ht="19" x14ac:dyDescent="0.25">
      <c r="B49" s="231">
        <f>SUM(E49:H49)</f>
        <v>24.418604651162795</v>
      </c>
      <c r="C49" s="58"/>
      <c r="D49" s="58" t="s">
        <v>219</v>
      </c>
      <c r="E49" s="224">
        <f>(($D$6-$D$4)*15)-$D$44</f>
        <v>15.069767441860474</v>
      </c>
      <c r="H49" s="111">
        <f>(($D$9-$D$7)*15)-$G$44</f>
        <v>9.3488372093023209</v>
      </c>
      <c r="I49" s="897"/>
      <c r="J49" s="1174"/>
    </row>
    <row r="50" spans="2:17" s="57" customFormat="1" ht="19" x14ac:dyDescent="0.25">
      <c r="B50" s="230">
        <f>SUM(E50:H50)</f>
        <v>84.418604651162795</v>
      </c>
      <c r="C50" s="59"/>
      <c r="D50" s="59" t="s">
        <v>220</v>
      </c>
      <c r="E50" s="106">
        <f>SUM(E47:E49)</f>
        <v>45.069767441860478</v>
      </c>
      <c r="H50" s="112">
        <f>SUM(H47:H49)</f>
        <v>39.348837209302317</v>
      </c>
      <c r="I50" s="897"/>
      <c r="J50" s="1174"/>
    </row>
    <row r="51" spans="2:17" s="60" customFormat="1" ht="19" x14ac:dyDescent="0.25">
      <c r="C51" s="61"/>
      <c r="D51" s="62" t="s">
        <v>221</v>
      </c>
      <c r="E51" s="346"/>
      <c r="H51" s="347">
        <f>-E51</f>
        <v>0</v>
      </c>
      <c r="I51" s="898"/>
      <c r="J51" s="1174"/>
    </row>
    <row r="52" spans="2:17" s="57" customFormat="1" ht="19" x14ac:dyDescent="0.25">
      <c r="D52" s="63" t="s">
        <v>222</v>
      </c>
      <c r="E52" s="108">
        <f>SUM(E50:E51)</f>
        <v>45.069767441860478</v>
      </c>
      <c r="G52" s="63"/>
      <c r="H52" s="114">
        <f>SUM(H50:H51)</f>
        <v>39.348837209302317</v>
      </c>
      <c r="I52" s="899"/>
      <c r="J52" s="1174"/>
    </row>
    <row r="53" spans="2:17" s="57" customFormat="1" ht="19" x14ac:dyDescent="0.25">
      <c r="D53" s="63" t="s">
        <v>223</v>
      </c>
      <c r="E53" s="202">
        <v>51.9</v>
      </c>
      <c r="F53" s="383" t="s">
        <v>224</v>
      </c>
      <c r="G53" s="204"/>
      <c r="H53" s="115"/>
      <c r="I53" s="900"/>
      <c r="J53" s="1174"/>
    </row>
    <row r="54" spans="2:17" s="57" customFormat="1" ht="19" x14ac:dyDescent="0.25">
      <c r="D54" s="71" t="s">
        <v>225</v>
      </c>
      <c r="E54" s="109">
        <f>E53-E52</f>
        <v>6.8302325581395209</v>
      </c>
      <c r="G54" s="65"/>
      <c r="H54" s="116">
        <f>H53-H52</f>
        <v>-39.348837209302317</v>
      </c>
      <c r="I54" s="900"/>
      <c r="J54" s="1174"/>
    </row>
    <row r="55" spans="2:17" s="57" customFormat="1" ht="19" x14ac:dyDescent="0.25">
      <c r="D55" s="66" t="s">
        <v>226</v>
      </c>
      <c r="E55" s="105">
        <f>IFERROR(($D$5*5)/(E52/3),0)</f>
        <v>28.655572755417953</v>
      </c>
      <c r="H55" s="117">
        <f>IFERROR(5*$D$8/(H52/3),0)</f>
        <v>29.695921985815605</v>
      </c>
      <c r="I55" s="897"/>
      <c r="J55" s="1175"/>
    </row>
    <row r="58" spans="2:17" x14ac:dyDescent="0.2">
      <c r="F58">
        <f>+F57/2</f>
        <v>0</v>
      </c>
    </row>
    <row r="59" spans="2:17" x14ac:dyDescent="0.2">
      <c r="B59" s="1028"/>
      <c r="L59" s="443"/>
    </row>
    <row r="60" spans="2:17" x14ac:dyDescent="0.2">
      <c r="D60" t="s">
        <v>227</v>
      </c>
      <c r="E60" s="152">
        <f>+$E$49+$E$48+$H$48+$H$49+$D$44+$E$44+$F$44+$G$44+$H$44+$I$44</f>
        <v>48.418604651162795</v>
      </c>
      <c r="F60" s="11" t="s">
        <v>228</v>
      </c>
    </row>
    <row r="61" spans="2:17" x14ac:dyDescent="0.2">
      <c r="E61" s="952">
        <f>E60*2507</f>
        <v>121385.44186046513</v>
      </c>
    </row>
    <row r="64" spans="2:17" ht="68" x14ac:dyDescent="0.25">
      <c r="B64" s="387" t="s">
        <v>229</v>
      </c>
      <c r="C64" s="1029" t="s">
        <v>230</v>
      </c>
      <c r="D64" s="1029" t="s">
        <v>231</v>
      </c>
      <c r="E64" s="1029" t="s">
        <v>232</v>
      </c>
      <c r="F64" s="1029" t="s">
        <v>233</v>
      </c>
      <c r="G64" s="1029" t="s">
        <v>234</v>
      </c>
      <c r="H64" s="1029" t="s">
        <v>235</v>
      </c>
      <c r="I64" s="1029" t="s">
        <v>236</v>
      </c>
      <c r="J64" s="1029" t="s">
        <v>237</v>
      </c>
      <c r="K64" s="1029" t="s">
        <v>238</v>
      </c>
      <c r="L64" s="1029" t="s">
        <v>239</v>
      </c>
      <c r="M64" s="1029" t="s">
        <v>240</v>
      </c>
      <c r="N64" s="1029" t="s">
        <v>241</v>
      </c>
      <c r="O64" s="1030" t="s">
        <v>242</v>
      </c>
      <c r="P64" s="1029" t="s">
        <v>243</v>
      </c>
      <c r="Q64" s="1031" t="s">
        <v>244</v>
      </c>
    </row>
    <row r="65" spans="2:18" ht="17" x14ac:dyDescent="0.25">
      <c r="B65" s="1051"/>
      <c r="C65" s="1033" t="s">
        <v>245</v>
      </c>
      <c r="D65" s="1033" t="s">
        <v>246</v>
      </c>
      <c r="E65" s="1034">
        <v>5675</v>
      </c>
      <c r="F65" s="1035">
        <v>2270</v>
      </c>
      <c r="G65" s="1033" t="s">
        <v>247</v>
      </c>
      <c r="H65" s="1033" t="s">
        <v>248</v>
      </c>
      <c r="I65" s="1033">
        <v>3</v>
      </c>
      <c r="J65" s="1033">
        <v>1</v>
      </c>
      <c r="K65" s="1036" t="s">
        <v>59</v>
      </c>
      <c r="L65" s="1054">
        <v>29</v>
      </c>
      <c r="M65" s="1033" t="s">
        <v>59</v>
      </c>
      <c r="N65" s="1033" t="s">
        <v>59</v>
      </c>
      <c r="O65" s="1037" t="s">
        <v>59</v>
      </c>
      <c r="P65" s="1038" t="s">
        <v>59</v>
      </c>
      <c r="Q65" s="1039" t="s">
        <v>249</v>
      </c>
    </row>
    <row r="66" spans="2:18" ht="17" x14ac:dyDescent="0.25">
      <c r="B66" s="1051"/>
      <c r="C66" s="1033" t="s">
        <v>250</v>
      </c>
      <c r="D66" s="1033" t="s">
        <v>251</v>
      </c>
      <c r="E66" s="1034">
        <v>5939</v>
      </c>
      <c r="F66" s="1035">
        <v>2375.6</v>
      </c>
      <c r="G66" s="1033" t="s">
        <v>252</v>
      </c>
      <c r="H66" s="1033" t="s">
        <v>248</v>
      </c>
      <c r="I66" s="1033">
        <v>3</v>
      </c>
      <c r="J66" s="1033">
        <v>1</v>
      </c>
      <c r="K66" s="1033" t="s">
        <v>59</v>
      </c>
      <c r="L66" s="1054">
        <v>21.9</v>
      </c>
      <c r="M66" s="1033" t="s">
        <v>59</v>
      </c>
      <c r="N66" s="1033" t="s">
        <v>59</v>
      </c>
      <c r="O66" s="1037" t="s">
        <v>59</v>
      </c>
      <c r="P66" s="1038" t="s">
        <v>59</v>
      </c>
      <c r="Q66" s="684" t="s">
        <v>249</v>
      </c>
    </row>
    <row r="67" spans="2:18" ht="17" x14ac:dyDescent="0.25">
      <c r="B67" s="1051"/>
      <c r="C67" s="1033" t="s">
        <v>253</v>
      </c>
      <c r="D67" s="1033" t="s">
        <v>251</v>
      </c>
      <c r="E67" s="1034">
        <v>6402</v>
      </c>
      <c r="F67" s="1035">
        <v>2560.8000000000002</v>
      </c>
      <c r="G67" s="1033" t="s">
        <v>252</v>
      </c>
      <c r="H67" s="1033" t="s">
        <v>248</v>
      </c>
      <c r="I67" s="1033">
        <v>3</v>
      </c>
      <c r="J67" s="1033">
        <v>1</v>
      </c>
      <c r="K67" s="1033" t="s">
        <v>59</v>
      </c>
      <c r="L67" s="1054">
        <v>16</v>
      </c>
      <c r="M67" s="1033" t="s">
        <v>59</v>
      </c>
      <c r="N67" s="1033" t="s">
        <v>59</v>
      </c>
      <c r="O67" s="1037" t="s">
        <v>59</v>
      </c>
      <c r="P67" s="1038" t="s">
        <v>59</v>
      </c>
      <c r="Q67" s="684" t="s">
        <v>249</v>
      </c>
    </row>
    <row r="68" spans="2:18" ht="17" x14ac:dyDescent="0.25">
      <c r="B68" s="1051"/>
      <c r="C68" s="1033" t="s">
        <v>254</v>
      </c>
      <c r="D68" s="1033" t="s">
        <v>251</v>
      </c>
      <c r="E68" s="1034">
        <v>5925</v>
      </c>
      <c r="F68" s="1035">
        <v>2370</v>
      </c>
      <c r="G68" s="1033" t="s">
        <v>252</v>
      </c>
      <c r="H68" s="1033" t="s">
        <v>248</v>
      </c>
      <c r="I68" s="1033">
        <v>3</v>
      </c>
      <c r="J68" s="1033">
        <v>1</v>
      </c>
      <c r="K68" s="1036" t="s">
        <v>59</v>
      </c>
      <c r="L68" s="1054">
        <v>9</v>
      </c>
      <c r="M68" s="1033" t="s">
        <v>59</v>
      </c>
      <c r="N68" s="1033" t="s">
        <v>59</v>
      </c>
      <c r="O68" s="1037" t="s">
        <v>59</v>
      </c>
      <c r="P68" s="1038" t="s">
        <v>59</v>
      </c>
      <c r="Q68" s="684" t="s">
        <v>249</v>
      </c>
    </row>
    <row r="69" spans="2:18" x14ac:dyDescent="0.2">
      <c r="B69" s="1052"/>
      <c r="C69" s="272"/>
      <c r="D69" s="1040"/>
      <c r="E69" s="272"/>
      <c r="F69" s="272"/>
      <c r="G69" s="272"/>
      <c r="H69" s="272"/>
      <c r="I69" s="272"/>
      <c r="J69" s="272"/>
      <c r="K69" s="272"/>
      <c r="L69" s="1055">
        <f>SUM(L65:L68)</f>
        <v>75.900000000000006</v>
      </c>
      <c r="N69" s="272"/>
      <c r="O69" s="272"/>
      <c r="P69" s="272"/>
      <c r="Q69" s="272"/>
      <c r="R69" s="1040"/>
    </row>
    <row r="70" spans="2:18" x14ac:dyDescent="0.2">
      <c r="B70" s="1053">
        <f>SUM(B65:B68)</f>
        <v>0</v>
      </c>
      <c r="C70" s="272" t="s">
        <v>255</v>
      </c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1040"/>
    </row>
    <row r="72" spans="2:18" x14ac:dyDescent="0.2">
      <c r="B72" t="s">
        <v>256</v>
      </c>
    </row>
  </sheetData>
  <sheetProtection algorithmName="SHA-512" hashValue="MnWhnbOlyA6wB5QdmufidkBcsugXPqDQanYbtLnVfgjO/YuFG1OI5Ns0ljspq/ZEu51WnOfyQNGgiCl+ZEh0QQ==" saltValue="JEwVYD3MdCYjsuXV8sA3cQ==" spinCount="100000" sheet="1" objects="1" scenarios="1"/>
  <sortState xmlns:xlrd2="http://schemas.microsoft.com/office/spreadsheetml/2017/richdata2" ref="C21:J23">
    <sortCondition ref="C21:C23"/>
  </sortState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'Data Elements'!$F$3:$F$31</xm:f>
          </x14:formula1>
          <xm:sqref>D2</xm:sqref>
        </x14:dataValidation>
        <x14:dataValidation type="list" allowBlank="1" showInputMessage="1" showErrorMessage="1" xr:uid="{00000000-0002-0000-0100-000001000000}">
          <x14:formula1>
            <xm:f>'Data Elements'!$A$3:$A$179</xm:f>
          </x14:formula1>
          <xm:sqref>C21:C36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F1B7-91A1-4612-9086-0F4DC9C2F629}">
  <sheetPr>
    <tabColor rgb="FF000000"/>
  </sheetPr>
  <dimension ref="A1:M92"/>
  <sheetViews>
    <sheetView topLeftCell="A42" workbookViewId="0">
      <selection activeCell="H50" sqref="H50"/>
    </sheetView>
    <sheetView topLeftCell="A50" workbookViewId="1">
      <selection activeCell="F64" sqref="F6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2.6640625" customWidth="1"/>
    <col min="4" max="4" width="15.33203125" customWidth="1"/>
    <col min="5" max="5" width="15.5" customWidth="1"/>
    <col min="6" max="6" width="10.6640625" customWidth="1"/>
    <col min="7" max="7" width="13.1640625" customWidth="1"/>
    <col min="8" max="9" width="11.6640625" customWidth="1"/>
    <col min="10" max="10" width="83.6640625" bestFit="1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2.4</v>
      </c>
    </row>
    <row r="2" spans="1:10" s="9" customFormat="1" ht="25" thickBot="1" x14ac:dyDescent="0.35">
      <c r="A2" s="1176" t="s">
        <v>181</v>
      </c>
      <c r="B2" s="1176"/>
      <c r="C2" s="1176"/>
      <c r="D2" s="8" t="s">
        <v>52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8.5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291.16500000000002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14.855357142857143</v>
      </c>
    </row>
    <row r="7" spans="1:10" x14ac:dyDescent="0.2">
      <c r="B7" s="1180" t="s">
        <v>186</v>
      </c>
      <c r="C7" s="16" t="s">
        <v>187</v>
      </c>
      <c r="D7" s="173">
        <v>8.5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263.435</v>
      </c>
    </row>
    <row r="9" spans="1:10" ht="17" thickBot="1" x14ac:dyDescent="0.25">
      <c r="B9" s="1182"/>
      <c r="C9" s="19" t="s">
        <v>10</v>
      </c>
      <c r="D9" s="20">
        <f>VLOOKUP($D$2,Overview!$A$4:$AC$31,26,0)</f>
        <v>13.440561224489795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1" ht="16.25" customHeight="1" x14ac:dyDescent="0.2">
      <c r="B17" s="156"/>
      <c r="C17" s="155" t="s">
        <v>191</v>
      </c>
      <c r="J17" s="25"/>
    </row>
    <row r="18" spans="2:11" ht="16.25" customHeight="1" x14ac:dyDescent="0.2">
      <c r="B18" s="156"/>
      <c r="C18" s="155" t="s">
        <v>192</v>
      </c>
      <c r="J18" s="25"/>
    </row>
    <row r="19" spans="2:11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1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1" x14ac:dyDescent="0.2">
      <c r="B21" s="34">
        <v>1</v>
      </c>
      <c r="C21" s="271" t="s">
        <v>258</v>
      </c>
      <c r="D21" s="118"/>
      <c r="E21" s="118"/>
      <c r="F21" s="118">
        <v>12</v>
      </c>
      <c r="G21" s="119"/>
      <c r="H21" s="119">
        <v>6</v>
      </c>
      <c r="I21" s="120"/>
      <c r="J21" s="287" t="s">
        <v>259</v>
      </c>
      <c r="K21" s="288"/>
    </row>
    <row r="22" spans="2:11" x14ac:dyDescent="0.2">
      <c r="B22" s="36">
        <v>2</v>
      </c>
      <c r="C22" s="910" t="s">
        <v>260</v>
      </c>
      <c r="D22" s="121"/>
      <c r="E22" s="121"/>
      <c r="F22" s="121"/>
      <c r="G22" s="122"/>
      <c r="H22" s="122"/>
      <c r="I22" s="122"/>
      <c r="J22" s="739" t="s">
        <v>261</v>
      </c>
      <c r="K22" s="288"/>
    </row>
    <row r="23" spans="2:11" x14ac:dyDescent="0.2">
      <c r="B23" s="36">
        <v>3</v>
      </c>
      <c r="C23" s="271" t="s">
        <v>262</v>
      </c>
      <c r="D23" s="121"/>
      <c r="E23" s="121">
        <v>3</v>
      </c>
      <c r="F23" s="121"/>
      <c r="G23" s="122"/>
      <c r="H23" s="122"/>
      <c r="I23" s="348">
        <v>12</v>
      </c>
      <c r="J23" s="282" t="s">
        <v>263</v>
      </c>
      <c r="K23" s="288"/>
    </row>
    <row r="24" spans="2:11" x14ac:dyDescent="0.2">
      <c r="B24" s="36">
        <v>4</v>
      </c>
      <c r="C24" s="271" t="s">
        <v>264</v>
      </c>
      <c r="D24" s="121"/>
      <c r="E24" s="121"/>
      <c r="F24" s="121">
        <v>1.2</v>
      </c>
      <c r="G24" s="122"/>
      <c r="H24" s="122"/>
      <c r="I24" s="122">
        <v>1.2</v>
      </c>
      <c r="J24" s="282" t="s">
        <v>265</v>
      </c>
      <c r="K24" s="288"/>
    </row>
    <row r="25" spans="2:11" x14ac:dyDescent="0.2">
      <c r="B25" s="36">
        <v>5</v>
      </c>
      <c r="C25" s="271" t="s">
        <v>266</v>
      </c>
      <c r="D25" s="121"/>
      <c r="E25" s="121">
        <v>3</v>
      </c>
      <c r="F25" s="121"/>
      <c r="G25" s="122"/>
      <c r="H25" s="122"/>
      <c r="I25" s="122"/>
      <c r="J25" s="739" t="s">
        <v>267</v>
      </c>
      <c r="K25" s="288"/>
    </row>
    <row r="26" spans="2:11" x14ac:dyDescent="0.2">
      <c r="B26" s="36">
        <v>6</v>
      </c>
      <c r="C26" s="271" t="s">
        <v>268</v>
      </c>
      <c r="D26" s="121"/>
      <c r="E26" s="121">
        <v>3</v>
      </c>
      <c r="F26" s="121"/>
      <c r="G26" s="122"/>
      <c r="H26" s="122"/>
      <c r="I26" s="122"/>
      <c r="J26" s="282" t="s">
        <v>269</v>
      </c>
      <c r="K26" s="288"/>
    </row>
    <row r="27" spans="2:11" x14ac:dyDescent="0.2">
      <c r="B27" s="36">
        <v>7</v>
      </c>
      <c r="C27" s="871" t="s">
        <v>270</v>
      </c>
      <c r="D27" s="121">
        <v>7.2</v>
      </c>
      <c r="E27" s="121"/>
      <c r="F27" s="121"/>
      <c r="G27" s="122">
        <v>7.8</v>
      </c>
      <c r="H27" s="122"/>
      <c r="I27" s="122"/>
      <c r="J27" s="282" t="s">
        <v>271</v>
      </c>
    </row>
    <row r="28" spans="2:11" x14ac:dyDescent="0.2">
      <c r="B28" s="36">
        <v>8</v>
      </c>
      <c r="C28" s="271" t="s">
        <v>272</v>
      </c>
      <c r="D28" s="121"/>
      <c r="E28" s="121"/>
      <c r="F28" s="121">
        <v>6</v>
      </c>
      <c r="G28" s="122"/>
      <c r="H28" s="122"/>
      <c r="I28" s="122">
        <v>6</v>
      </c>
      <c r="J28" s="872" t="s">
        <v>273</v>
      </c>
    </row>
    <row r="29" spans="2:11" x14ac:dyDescent="0.2">
      <c r="B29" s="36">
        <v>9</v>
      </c>
      <c r="C29" s="271" t="s">
        <v>274</v>
      </c>
      <c r="D29" s="121"/>
      <c r="E29" s="121"/>
      <c r="F29" s="121"/>
      <c r="G29" s="122"/>
      <c r="H29" s="122"/>
      <c r="I29" s="122"/>
      <c r="J29" s="282"/>
    </row>
    <row r="30" spans="2:11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1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1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>
        <f>13.2+13.8</f>
        <v>27</v>
      </c>
      <c r="C37" s="43" t="s">
        <v>209</v>
      </c>
      <c r="D37" s="128">
        <f t="shared" ref="D37:I37" si="0">SUM(D21:D36)</f>
        <v>7.2</v>
      </c>
      <c r="E37" s="128">
        <f>SUM(E21:E36)</f>
        <v>9</v>
      </c>
      <c r="F37" s="128">
        <f t="shared" si="0"/>
        <v>19.2</v>
      </c>
      <c r="G37" s="129">
        <f t="shared" si="0"/>
        <v>7.8</v>
      </c>
      <c r="H37" s="129">
        <f t="shared" si="0"/>
        <v>6</v>
      </c>
      <c r="I37" s="129">
        <f t="shared" si="0"/>
        <v>19.2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284">
        <v>1</v>
      </c>
      <c r="C40" s="293" t="s">
        <v>276</v>
      </c>
      <c r="D40" s="285"/>
      <c r="E40" s="121"/>
      <c r="F40" s="121">
        <v>3</v>
      </c>
      <c r="G40" s="126"/>
      <c r="H40" s="126"/>
      <c r="I40" s="126">
        <v>3</v>
      </c>
      <c r="J40" s="38" t="s">
        <v>277</v>
      </c>
    </row>
    <row r="41" spans="2:10" ht="16.25" customHeight="1" x14ac:dyDescent="0.2">
      <c r="B41" s="284">
        <v>2</v>
      </c>
      <c r="C41" s="293"/>
      <c r="D41" s="285"/>
      <c r="E41" s="121"/>
      <c r="F41" s="121"/>
      <c r="G41" s="126"/>
      <c r="H41" s="126"/>
      <c r="I41" s="126"/>
      <c r="J41" s="38"/>
    </row>
    <row r="42" spans="2:10" ht="16.25" customHeight="1" x14ac:dyDescent="0.2">
      <c r="B42" s="284">
        <v>3</v>
      </c>
      <c r="C42" s="293"/>
      <c r="D42" s="285"/>
      <c r="E42" s="121"/>
      <c r="F42" s="121"/>
      <c r="G42" s="126"/>
      <c r="H42" s="126"/>
      <c r="I42" s="126"/>
      <c r="J42" s="38"/>
    </row>
    <row r="43" spans="2:10" ht="16.25" customHeight="1" x14ac:dyDescent="0.2">
      <c r="B43" s="284">
        <v>4</v>
      </c>
      <c r="C43" s="293"/>
      <c r="D43" s="285"/>
      <c r="E43" s="121"/>
      <c r="F43" s="121"/>
      <c r="G43" s="126"/>
      <c r="H43" s="126"/>
      <c r="I43" s="126"/>
      <c r="J43" s="38"/>
    </row>
    <row r="44" spans="2:10" ht="16.25" customHeight="1" x14ac:dyDescent="0.2">
      <c r="B44" s="284">
        <v>5</v>
      </c>
      <c r="C44" s="293"/>
      <c r="D44" s="285"/>
      <c r="E44" s="121"/>
      <c r="F44" s="121"/>
      <c r="G44" s="126"/>
      <c r="H44" s="126"/>
      <c r="I44" s="126"/>
      <c r="J44" s="38"/>
    </row>
    <row r="45" spans="2:10" ht="16.25" customHeight="1" x14ac:dyDescent="0.2">
      <c r="B45" s="284">
        <v>6</v>
      </c>
      <c r="C45" s="293"/>
      <c r="D45" s="285"/>
      <c r="E45" s="121"/>
      <c r="F45" s="121"/>
      <c r="G45" s="126"/>
      <c r="H45" s="126"/>
      <c r="I45" s="126"/>
      <c r="J45" s="38"/>
    </row>
    <row r="46" spans="2:10" ht="16.25" customHeight="1" x14ac:dyDescent="0.2">
      <c r="B46" s="284">
        <v>7</v>
      </c>
      <c r="C46" s="293"/>
      <c r="D46" s="285"/>
      <c r="E46" s="121"/>
      <c r="F46" s="121"/>
      <c r="G46" s="126"/>
      <c r="H46" s="126"/>
      <c r="I46" s="126"/>
      <c r="J46" s="38"/>
    </row>
    <row r="47" spans="2:10" x14ac:dyDescent="0.2">
      <c r="B47" s="284">
        <v>8</v>
      </c>
      <c r="C47" s="293"/>
      <c r="D47" s="285"/>
      <c r="E47" s="121"/>
      <c r="F47" s="121"/>
      <c r="G47" s="126"/>
      <c r="H47" s="126"/>
      <c r="I47" s="126"/>
      <c r="J47" s="38"/>
    </row>
    <row r="48" spans="2:10" x14ac:dyDescent="0.2">
      <c r="B48" s="284">
        <v>9</v>
      </c>
      <c r="C48" s="293"/>
      <c r="D48" s="285"/>
      <c r="E48" s="121"/>
      <c r="F48" s="121"/>
      <c r="G48" s="126"/>
      <c r="H48" s="126"/>
      <c r="I48" s="126"/>
      <c r="J48" s="38"/>
    </row>
    <row r="49" spans="2:10" x14ac:dyDescent="0.2">
      <c r="B49" s="284">
        <v>10</v>
      </c>
      <c r="C49" s="293"/>
      <c r="D49" s="285"/>
      <c r="E49" s="121"/>
      <c r="F49" s="121"/>
      <c r="G49" s="126"/>
      <c r="H49" s="126"/>
      <c r="I49" s="126"/>
      <c r="J49" s="38"/>
    </row>
    <row r="50" spans="2:10" x14ac:dyDescent="0.2">
      <c r="B50" s="284">
        <v>11</v>
      </c>
      <c r="C50" s="293"/>
      <c r="D50" s="285"/>
      <c r="E50" s="121"/>
      <c r="F50" s="121"/>
      <c r="G50" s="126"/>
      <c r="H50" s="126"/>
      <c r="I50" s="126"/>
      <c r="J50" s="38"/>
    </row>
    <row r="51" spans="2:10" x14ac:dyDescent="0.2">
      <c r="B51" s="284">
        <v>12</v>
      </c>
      <c r="C51" s="293"/>
      <c r="D51" s="285"/>
      <c r="E51" s="121"/>
      <c r="F51" s="121"/>
      <c r="G51" s="126"/>
      <c r="H51" s="126"/>
      <c r="I51" s="126"/>
      <c r="J51" s="38"/>
    </row>
    <row r="52" spans="2:10" x14ac:dyDescent="0.2">
      <c r="B52" s="292">
        <v>13</v>
      </c>
      <c r="C52" s="293"/>
      <c r="D52" s="285"/>
      <c r="E52" s="121"/>
      <c r="F52" s="121"/>
      <c r="G52" s="126"/>
      <c r="H52" s="126"/>
      <c r="I52" s="126"/>
      <c r="J52" s="38"/>
    </row>
    <row r="53" spans="2:10" x14ac:dyDescent="0.2">
      <c r="B53" s="291">
        <v>14</v>
      </c>
      <c r="C53" s="293"/>
      <c r="D53" s="290"/>
      <c r="E53" s="123"/>
      <c r="F53" s="123"/>
      <c r="G53" s="127"/>
      <c r="H53" s="127"/>
      <c r="I53" s="127"/>
      <c r="J53" s="41"/>
    </row>
    <row r="54" spans="2:10" s="11" customFormat="1" ht="19" x14ac:dyDescent="0.25">
      <c r="B54" s="42"/>
      <c r="C54" s="43" t="s">
        <v>214</v>
      </c>
      <c r="D54" s="128">
        <f>SUM(D41:D53)</f>
        <v>0</v>
      </c>
      <c r="E54" s="128">
        <f t="shared" ref="E54:F54" si="1">SUM(E41:E53)</f>
        <v>0</v>
      </c>
      <c r="F54" s="128">
        <f t="shared" si="1"/>
        <v>0</v>
      </c>
      <c r="G54" s="129">
        <f>SUM(G40:G53)</f>
        <v>0</v>
      </c>
      <c r="H54" s="129">
        <f t="shared" ref="H54:I54" si="2">SUM(H40:H53)</f>
        <v>0</v>
      </c>
      <c r="I54" s="129">
        <f t="shared" si="2"/>
        <v>3</v>
      </c>
      <c r="J54" s="53">
        <f>SUM(D54:I54)</f>
        <v>3</v>
      </c>
    </row>
    <row r="55" spans="2:10" ht="6" customHeight="1" x14ac:dyDescent="0.2"/>
    <row r="56" spans="2:10" s="54" customFormat="1" ht="19" x14ac:dyDescent="0.25">
      <c r="B56" s="229" t="s">
        <v>215</v>
      </c>
      <c r="D56" s="72"/>
      <c r="E56" s="72" t="s">
        <v>182</v>
      </c>
      <c r="F56" s="72"/>
      <c r="G56" s="55"/>
      <c r="H56" s="55" t="s">
        <v>186</v>
      </c>
      <c r="I56" s="55"/>
      <c r="J56" s="56" t="s">
        <v>216</v>
      </c>
    </row>
    <row r="57" spans="2:10" s="57" customFormat="1" ht="19" x14ac:dyDescent="0.25">
      <c r="B57" s="231">
        <f>SUM(E57:H57)</f>
        <v>135.6</v>
      </c>
      <c r="D57" s="58" t="s">
        <v>217</v>
      </c>
      <c r="E57" s="224">
        <f>($D$4*12)-$E$37-$F$37-$D$37</f>
        <v>66.599999999999994</v>
      </c>
      <c r="H57" s="111">
        <f>($D$7*12)-$H$37-$I$37-$G$37</f>
        <v>69</v>
      </c>
      <c r="J57" s="1185"/>
    </row>
    <row r="58" spans="2:10" s="57" customFormat="1" ht="19" x14ac:dyDescent="0.25">
      <c r="B58" s="231">
        <f t="shared" ref="B58:B59" si="3">SUM(E58:H58)</f>
        <v>53.4</v>
      </c>
      <c r="C58" s="58"/>
      <c r="D58" s="58" t="s">
        <v>218</v>
      </c>
      <c r="E58" s="224">
        <f>$E$37+$F$37</f>
        <v>28.2</v>
      </c>
      <c r="H58" s="111">
        <f>$H$37+$I$37</f>
        <v>25.2</v>
      </c>
      <c r="J58" s="1185"/>
    </row>
    <row r="59" spans="2:10" s="57" customFormat="1" ht="19" x14ac:dyDescent="0.25">
      <c r="B59" s="231">
        <f t="shared" si="3"/>
        <v>169.43877551020404</v>
      </c>
      <c r="C59" s="58"/>
      <c r="D59" s="58" t="s">
        <v>219</v>
      </c>
      <c r="E59" s="224">
        <f>(($D$6-$D$4)*15)-D54</f>
        <v>95.330357142857139</v>
      </c>
      <c r="H59" s="111">
        <f>(($D$9-$D$7)*15)-$G$44</f>
        <v>74.108418367346914</v>
      </c>
      <c r="J59" s="1185"/>
    </row>
    <row r="60" spans="2:10" s="57" customFormat="1" ht="20" thickBot="1" x14ac:dyDescent="0.3">
      <c r="B60" s="230">
        <f>SUM(E60:H60)</f>
        <v>358.43877551020404</v>
      </c>
      <c r="C60" s="59"/>
      <c r="D60" s="59" t="s">
        <v>220</v>
      </c>
      <c r="E60" s="106">
        <f>SUM(E57:E59)</f>
        <v>190.13035714285712</v>
      </c>
      <c r="H60" s="112">
        <f>SUM(H57:H59)</f>
        <v>168.30841836734692</v>
      </c>
      <c r="J60" s="1185"/>
    </row>
    <row r="61" spans="2:10" s="60" customFormat="1" ht="21" thickTop="1" thickBot="1" x14ac:dyDescent="0.3">
      <c r="C61" s="61"/>
      <c r="D61" s="62" t="s">
        <v>221</v>
      </c>
      <c r="E61" s="107"/>
      <c r="H61" s="113">
        <f>-E61</f>
        <v>0</v>
      </c>
      <c r="J61" s="1185"/>
    </row>
    <row r="62" spans="2:10" s="57" customFormat="1" ht="20" thickBot="1" x14ac:dyDescent="0.3">
      <c r="D62" s="63" t="s">
        <v>222</v>
      </c>
      <c r="E62" s="108">
        <f>SUM(E60:E61)</f>
        <v>190.13035714285712</v>
      </c>
      <c r="G62" s="63"/>
      <c r="H62" s="114">
        <f>SUM(H60:H61)</f>
        <v>168.30841836734692</v>
      </c>
      <c r="I62" s="64"/>
      <c r="J62" s="1185"/>
    </row>
    <row r="63" spans="2:10" s="57" customFormat="1" ht="19" x14ac:dyDescent="0.25">
      <c r="D63" s="201" t="s">
        <v>278</v>
      </c>
      <c r="E63" s="202">
        <v>194.1</v>
      </c>
      <c r="F63" s="383" t="s">
        <v>224</v>
      </c>
      <c r="G63" s="204"/>
      <c r="H63" s="115"/>
      <c r="I63" s="66"/>
      <c r="J63" s="1185"/>
    </row>
    <row r="64" spans="2:10" s="57" customFormat="1" ht="19" x14ac:dyDescent="0.25">
      <c r="D64" s="71" t="s">
        <v>225</v>
      </c>
      <c r="E64" s="109">
        <f>E63-E62</f>
        <v>3.9696428571428726</v>
      </c>
      <c r="G64" s="65"/>
      <c r="H64" s="116">
        <f>H63-H62</f>
        <v>-168.30841836734692</v>
      </c>
      <c r="I64" s="66"/>
      <c r="J64" s="1185"/>
    </row>
    <row r="65" spans="2:13" s="57" customFormat="1" ht="20" thickBot="1" x14ac:dyDescent="0.3">
      <c r="D65" s="66" t="s">
        <v>226</v>
      </c>
      <c r="E65" s="105">
        <f>IFERROR(($D$5*5)/(E62/3),0)</f>
        <v>22.970950381786935</v>
      </c>
      <c r="H65" s="117">
        <f>IFERROR(5*$D$8/(H62/3),0)</f>
        <v>23.477880894676776</v>
      </c>
      <c r="J65" s="1186"/>
    </row>
    <row r="67" spans="2:13" x14ac:dyDescent="0.2">
      <c r="D67" t="s">
        <v>227</v>
      </c>
      <c r="E67" s="152">
        <f>+E58+E59+H58+H59+D54+E54+F54+G54+H54+I54</f>
        <v>225.83877551020407</v>
      </c>
      <c r="F67" s="11" t="s">
        <v>228</v>
      </c>
    </row>
    <row r="68" spans="2:13" x14ac:dyDescent="0.2">
      <c r="E68" s="952">
        <f>E67*2507</f>
        <v>566177.81020408159</v>
      </c>
    </row>
    <row r="71" spans="2:13" ht="57" x14ac:dyDescent="0.2">
      <c r="B71" s="232" t="s">
        <v>279</v>
      </c>
      <c r="C71" s="389" t="s">
        <v>230</v>
      </c>
      <c r="D71" s="390" t="s">
        <v>280</v>
      </c>
      <c r="E71" s="391" t="s">
        <v>234</v>
      </c>
      <c r="F71" s="388" t="s">
        <v>235</v>
      </c>
      <c r="G71" s="392" t="s">
        <v>236</v>
      </c>
      <c r="H71" s="392" t="s">
        <v>237</v>
      </c>
      <c r="I71" s="392" t="s">
        <v>238</v>
      </c>
      <c r="J71" s="391" t="s">
        <v>281</v>
      </c>
      <c r="K71" s="391" t="s">
        <v>282</v>
      </c>
      <c r="L71" s="391" t="s">
        <v>243</v>
      </c>
      <c r="M71" s="393" t="s">
        <v>244</v>
      </c>
    </row>
    <row r="72" spans="2:13" s="289" customFormat="1" x14ac:dyDescent="0.2">
      <c r="B72" s="289">
        <v>1</v>
      </c>
      <c r="C72" s="444" t="s">
        <v>283</v>
      </c>
      <c r="D72" s="445" t="s">
        <v>246</v>
      </c>
      <c r="E72" s="446" t="s">
        <v>284</v>
      </c>
      <c r="F72" s="447" t="s">
        <v>285</v>
      </c>
      <c r="G72" s="448">
        <v>1</v>
      </c>
      <c r="H72" s="448" t="s">
        <v>249</v>
      </c>
      <c r="I72" s="449"/>
      <c r="J72" s="450">
        <v>30</v>
      </c>
      <c r="K72" s="451"/>
      <c r="L72" s="452"/>
      <c r="M72" s="453" t="s">
        <v>249</v>
      </c>
    </row>
    <row r="73" spans="2:13" x14ac:dyDescent="0.2">
      <c r="B73">
        <v>1</v>
      </c>
      <c r="C73" s="444" t="s">
        <v>286</v>
      </c>
      <c r="D73" s="445" t="s">
        <v>251</v>
      </c>
      <c r="E73" s="446" t="s">
        <v>247</v>
      </c>
      <c r="F73" s="447" t="s">
        <v>285</v>
      </c>
      <c r="G73" s="448">
        <v>1</v>
      </c>
      <c r="H73" s="454" t="s">
        <v>249</v>
      </c>
      <c r="I73" s="455"/>
      <c r="J73" s="450">
        <v>30</v>
      </c>
      <c r="K73" s="451"/>
      <c r="L73" s="452"/>
      <c r="M73" s="453" t="s">
        <v>249</v>
      </c>
    </row>
    <row r="74" spans="2:13" ht="71" x14ac:dyDescent="0.2">
      <c r="C74" s="395" t="s">
        <v>276</v>
      </c>
      <c r="D74" s="396" t="s">
        <v>287</v>
      </c>
      <c r="E74" s="397" t="s">
        <v>252</v>
      </c>
      <c r="F74" s="404" t="s">
        <v>248</v>
      </c>
      <c r="G74" s="398">
        <v>3</v>
      </c>
      <c r="H74" s="403">
        <v>1</v>
      </c>
      <c r="I74" s="405" t="s">
        <v>288</v>
      </c>
      <c r="J74" s="399">
        <v>22.8</v>
      </c>
      <c r="K74" s="400"/>
      <c r="L74" s="406"/>
      <c r="M74" s="402" t="s">
        <v>249</v>
      </c>
    </row>
    <row r="75" spans="2:13" ht="99" x14ac:dyDescent="0.2">
      <c r="B75" s="289"/>
      <c r="C75" s="395" t="s">
        <v>289</v>
      </c>
      <c r="D75" s="396" t="s">
        <v>287</v>
      </c>
      <c r="E75" s="397" t="s">
        <v>284</v>
      </c>
      <c r="F75" s="394" t="s">
        <v>248</v>
      </c>
      <c r="G75" s="398">
        <v>3</v>
      </c>
      <c r="H75" s="398">
        <v>1</v>
      </c>
      <c r="I75" s="407" t="s">
        <v>290</v>
      </c>
      <c r="J75" s="399">
        <v>24.6</v>
      </c>
      <c r="K75" s="400"/>
      <c r="L75" s="401"/>
      <c r="M75" s="402" t="s">
        <v>249</v>
      </c>
    </row>
    <row r="76" spans="2:13" x14ac:dyDescent="0.2">
      <c r="B76" s="289"/>
      <c r="C76" s="395" t="s">
        <v>291</v>
      </c>
      <c r="D76" s="396" t="s">
        <v>287</v>
      </c>
      <c r="E76" s="397" t="s">
        <v>284</v>
      </c>
      <c r="F76" s="394" t="s">
        <v>248</v>
      </c>
      <c r="G76" s="398">
        <v>3</v>
      </c>
      <c r="H76" s="398">
        <v>1</v>
      </c>
      <c r="I76" s="408"/>
      <c r="J76" s="399">
        <v>28.8</v>
      </c>
      <c r="K76" s="400"/>
      <c r="L76" s="401"/>
      <c r="M76" s="402" t="s">
        <v>249</v>
      </c>
    </row>
    <row r="77" spans="2:13" x14ac:dyDescent="0.2">
      <c r="C77" s="395" t="s">
        <v>292</v>
      </c>
      <c r="D77" s="396" t="s">
        <v>246</v>
      </c>
      <c r="E77" s="397" t="s">
        <v>252</v>
      </c>
      <c r="F77" s="394" t="s">
        <v>248</v>
      </c>
      <c r="G77" s="398">
        <v>3</v>
      </c>
      <c r="H77" s="398">
        <v>1</v>
      </c>
      <c r="I77" s="409"/>
      <c r="J77" s="399">
        <v>27</v>
      </c>
      <c r="K77" s="400"/>
      <c r="L77" s="401"/>
      <c r="M77" s="402" t="s">
        <v>249</v>
      </c>
    </row>
    <row r="78" spans="2:13" ht="29" x14ac:dyDescent="0.2">
      <c r="C78" s="395" t="s">
        <v>293</v>
      </c>
      <c r="D78" s="396" t="s">
        <v>246</v>
      </c>
      <c r="E78" s="397" t="s">
        <v>252</v>
      </c>
      <c r="F78" s="394" t="s">
        <v>248</v>
      </c>
      <c r="G78" s="398">
        <v>3</v>
      </c>
      <c r="H78" s="398">
        <v>1</v>
      </c>
      <c r="I78" s="407" t="s">
        <v>294</v>
      </c>
      <c r="J78" s="399">
        <v>26.4</v>
      </c>
      <c r="K78" s="400"/>
      <c r="L78" s="401"/>
      <c r="M78" s="402" t="s">
        <v>249</v>
      </c>
    </row>
    <row r="79" spans="2:13" x14ac:dyDescent="0.2">
      <c r="B79" s="289"/>
      <c r="C79" s="395" t="s">
        <v>295</v>
      </c>
      <c r="D79" s="396" t="s">
        <v>251</v>
      </c>
      <c r="E79" s="397" t="s">
        <v>247</v>
      </c>
      <c r="F79" s="394" t="s">
        <v>248</v>
      </c>
      <c r="G79" s="398">
        <v>3</v>
      </c>
      <c r="H79" s="398">
        <v>1</v>
      </c>
      <c r="I79" s="410"/>
      <c r="J79" s="399">
        <v>7.8</v>
      </c>
      <c r="K79" s="400"/>
      <c r="L79" s="401"/>
      <c r="M79" s="402" t="s">
        <v>249</v>
      </c>
    </row>
    <row r="80" spans="2:13" x14ac:dyDescent="0.2">
      <c r="B80" s="289"/>
      <c r="C80" s="395" t="s">
        <v>296</v>
      </c>
      <c r="D80" s="396" t="s">
        <v>251</v>
      </c>
      <c r="E80" s="397" t="s">
        <v>284</v>
      </c>
      <c r="F80" s="394" t="s">
        <v>248</v>
      </c>
      <c r="G80" s="398">
        <v>3</v>
      </c>
      <c r="H80" s="398">
        <v>1</v>
      </c>
      <c r="I80" s="409"/>
      <c r="J80" s="399">
        <v>29.4</v>
      </c>
      <c r="K80" s="400"/>
      <c r="L80" s="401"/>
      <c r="M80" s="402" t="s">
        <v>249</v>
      </c>
    </row>
    <row r="81" spans="2:13" ht="71" x14ac:dyDescent="0.2">
      <c r="C81" s="395" t="s">
        <v>297</v>
      </c>
      <c r="D81" s="396" t="s">
        <v>251</v>
      </c>
      <c r="E81" s="397" t="s">
        <v>252</v>
      </c>
      <c r="F81" s="394" t="s">
        <v>248</v>
      </c>
      <c r="G81" s="398">
        <v>3</v>
      </c>
      <c r="H81" s="398">
        <v>1</v>
      </c>
      <c r="I81" s="409" t="s">
        <v>298</v>
      </c>
      <c r="J81" s="399">
        <v>6</v>
      </c>
      <c r="K81" s="400"/>
      <c r="L81" s="401"/>
      <c r="M81" s="411" t="s">
        <v>249</v>
      </c>
    </row>
    <row r="82" spans="2:13" x14ac:dyDescent="0.2">
      <c r="C82" s="395" t="s">
        <v>299</v>
      </c>
      <c r="D82" s="412" t="s">
        <v>300</v>
      </c>
      <c r="E82" s="397" t="s">
        <v>252</v>
      </c>
      <c r="F82" s="394" t="s">
        <v>248</v>
      </c>
      <c r="G82" s="398" t="s">
        <v>301</v>
      </c>
      <c r="H82" s="398">
        <v>2</v>
      </c>
      <c r="I82" s="409"/>
      <c r="J82" s="399">
        <v>15</v>
      </c>
      <c r="K82" s="400"/>
      <c r="L82" s="401"/>
      <c r="M82" s="402" t="s">
        <v>302</v>
      </c>
    </row>
    <row r="83" spans="2:13" x14ac:dyDescent="0.2">
      <c r="B83" s="289"/>
      <c r="C83" s="395" t="s">
        <v>303</v>
      </c>
      <c r="D83" s="413" t="s">
        <v>300</v>
      </c>
      <c r="E83" s="397" t="s">
        <v>252</v>
      </c>
      <c r="F83" s="394" t="s">
        <v>248</v>
      </c>
      <c r="G83" s="398" t="s">
        <v>301</v>
      </c>
      <c r="H83" s="398">
        <v>2</v>
      </c>
      <c r="I83" s="409"/>
      <c r="J83" s="399">
        <v>9.9</v>
      </c>
      <c r="K83" s="400"/>
      <c r="L83" s="401"/>
      <c r="M83" s="402" t="s">
        <v>304</v>
      </c>
    </row>
    <row r="84" spans="2:13" ht="29" x14ac:dyDescent="0.2">
      <c r="B84" s="289"/>
      <c r="C84" s="395" t="s">
        <v>305</v>
      </c>
      <c r="D84" s="413" t="s">
        <v>300</v>
      </c>
      <c r="E84" s="397" t="s">
        <v>247</v>
      </c>
      <c r="F84" s="394" t="s">
        <v>248</v>
      </c>
      <c r="G84" s="398" t="s">
        <v>301</v>
      </c>
      <c r="H84" s="398">
        <v>2</v>
      </c>
      <c r="I84" s="409" t="s">
        <v>306</v>
      </c>
      <c r="J84" s="399">
        <v>7.8</v>
      </c>
      <c r="K84" s="400"/>
      <c r="L84" s="401"/>
      <c r="M84" s="414" t="s">
        <v>307</v>
      </c>
    </row>
    <row r="85" spans="2:13" ht="29" x14ac:dyDescent="0.2">
      <c r="C85" s="395" t="s">
        <v>308</v>
      </c>
      <c r="D85" s="413" t="s">
        <v>300</v>
      </c>
      <c r="E85" s="397" t="s">
        <v>252</v>
      </c>
      <c r="F85" s="394" t="s">
        <v>248</v>
      </c>
      <c r="G85" s="398" t="s">
        <v>301</v>
      </c>
      <c r="H85" s="398">
        <v>2</v>
      </c>
      <c r="I85" s="409" t="s">
        <v>306</v>
      </c>
      <c r="J85" s="399">
        <v>7.8</v>
      </c>
      <c r="K85" s="415"/>
      <c r="L85" s="416"/>
      <c r="M85" s="411" t="s">
        <v>307</v>
      </c>
    </row>
    <row r="86" spans="2:13" ht="57" x14ac:dyDescent="0.2">
      <c r="C86" s="394" t="s">
        <v>309</v>
      </c>
      <c r="D86" s="417" t="s">
        <v>310</v>
      </c>
      <c r="E86" s="397" t="s">
        <v>252</v>
      </c>
      <c r="F86" s="394" t="s">
        <v>248</v>
      </c>
      <c r="G86" s="398" t="s">
        <v>311</v>
      </c>
      <c r="H86" s="398">
        <v>2</v>
      </c>
      <c r="I86" s="409" t="s">
        <v>312</v>
      </c>
      <c r="J86" s="399">
        <v>0</v>
      </c>
      <c r="K86" s="418"/>
      <c r="L86" s="401"/>
      <c r="M86" s="402" t="s">
        <v>313</v>
      </c>
    </row>
    <row r="87" spans="2:13" ht="29" x14ac:dyDescent="0.2">
      <c r="B87" s="289"/>
      <c r="C87" s="395" t="s">
        <v>314</v>
      </c>
      <c r="D87" s="396" t="s">
        <v>310</v>
      </c>
      <c r="E87" s="397" t="s">
        <v>284</v>
      </c>
      <c r="F87" s="394" t="s">
        <v>248</v>
      </c>
      <c r="G87" s="398" t="s">
        <v>311</v>
      </c>
      <c r="H87" s="398">
        <v>2</v>
      </c>
      <c r="I87" s="409" t="s">
        <v>315</v>
      </c>
      <c r="J87" s="419">
        <v>0</v>
      </c>
      <c r="K87" s="420"/>
      <c r="L87" s="421"/>
      <c r="M87" s="402" t="s">
        <v>316</v>
      </c>
    </row>
    <row r="88" spans="2:13" ht="29" x14ac:dyDescent="0.2">
      <c r="B88" s="289"/>
      <c r="C88" s="395" t="s">
        <v>317</v>
      </c>
      <c r="D88" s="396" t="s">
        <v>310</v>
      </c>
      <c r="E88" s="397" t="s">
        <v>252</v>
      </c>
      <c r="F88" s="394" t="s">
        <v>248</v>
      </c>
      <c r="G88" s="398" t="s">
        <v>311</v>
      </c>
      <c r="H88" s="398">
        <v>2</v>
      </c>
      <c r="I88" s="409" t="s">
        <v>315</v>
      </c>
      <c r="J88" s="419">
        <v>0</v>
      </c>
      <c r="K88" s="420"/>
      <c r="L88" s="421"/>
      <c r="M88" s="402" t="s">
        <v>316</v>
      </c>
    </row>
    <row r="89" spans="2:13" ht="29" x14ac:dyDescent="0.2">
      <c r="C89" s="423" t="s">
        <v>318</v>
      </c>
      <c r="D89" s="424"/>
      <c r="E89" s="425"/>
      <c r="F89" s="422"/>
      <c r="G89" s="426"/>
      <c r="H89" s="426"/>
      <c r="I89" s="427" t="s">
        <v>319</v>
      </c>
      <c r="J89" s="428"/>
      <c r="K89" s="429"/>
      <c r="L89" s="430"/>
      <c r="M89" s="431"/>
    </row>
    <row r="90" spans="2:13" ht="29" x14ac:dyDescent="0.2">
      <c r="C90" s="433" t="s">
        <v>320</v>
      </c>
      <c r="D90" s="434"/>
      <c r="E90" s="435"/>
      <c r="F90" s="432"/>
      <c r="G90" s="436"/>
      <c r="H90" s="436"/>
      <c r="I90" s="437" t="s">
        <v>321</v>
      </c>
      <c r="J90" s="438"/>
      <c r="K90" s="439"/>
      <c r="L90" s="440"/>
      <c r="M90" s="440"/>
    </row>
    <row r="91" spans="2:13" ht="29" x14ac:dyDescent="0.2">
      <c r="C91" s="432" t="s">
        <v>322</v>
      </c>
      <c r="D91" s="434"/>
      <c r="E91" s="435"/>
      <c r="F91" s="432"/>
      <c r="G91" s="436"/>
      <c r="H91" s="436"/>
      <c r="I91" s="437" t="s">
        <v>321</v>
      </c>
      <c r="J91" s="438"/>
      <c r="K91" s="441"/>
      <c r="L91" s="442"/>
      <c r="M91" s="442"/>
    </row>
    <row r="92" spans="2:13" x14ac:dyDescent="0.2">
      <c r="B92" s="228">
        <f>SUM(B72:B91)</f>
        <v>2</v>
      </c>
      <c r="J92" s="443">
        <f>SUM(J72:J73)</f>
        <v>60</v>
      </c>
    </row>
  </sheetData>
  <sheetProtection algorithmName="SHA-512" hashValue="ZB3A/6DKhqJmSg4Jv6jlwGX1NJyumlReJvYPnEpFX+uASfzDEAx/4aISnVCSnvv2AGm6BTqw2I2kbRipPZvzLw==" saltValue="tUPTJ+kisr7f+2ztA56yDQ==" spinCount="100000" sheet="1" objects="1" scenarios="1"/>
  <sortState xmlns:xlrd2="http://schemas.microsoft.com/office/spreadsheetml/2017/richdata2" ref="C21:J29">
    <sortCondition ref="C21:C29"/>
  </sortState>
  <mergeCells count="6">
    <mergeCell ref="J57:J6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CE611F0-84F1-4E31-8FAB-6F41690C0988}">
          <x14:formula1>
            <xm:f>'Data Elements'!$F$3:$F$31</xm:f>
          </x14:formula1>
          <xm:sqref>D2</xm:sqref>
        </x14:dataValidation>
        <x14:dataValidation type="list" allowBlank="1" showInputMessage="1" showErrorMessage="1" xr:uid="{D66E9E37-9D65-4343-A917-CA9591B38EC0}">
          <x14:formula1>
            <xm:f>'Data Elements'!$A$3:$A$101</xm:f>
          </x14:formula1>
          <xm:sqref>C36</xm:sqref>
        </x14:dataValidation>
        <x14:dataValidation type="list" allowBlank="1" showInputMessage="1" showErrorMessage="1" xr:uid="{3A2FED0D-A9BA-435D-ABD7-43B4D813F4DD}">
          <x14:formula1>
            <xm:f>'Data Elements'!$A$3:$A$179</xm:f>
          </x14:formula1>
          <xm:sqref>C21:C35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D862-F3A2-4E64-9EF5-20DDB41FB046}">
  <sheetPr>
    <tabColor rgb="FF000000"/>
  </sheetPr>
  <dimension ref="A1:M82"/>
  <sheetViews>
    <sheetView topLeftCell="C31" workbookViewId="0">
      <selection activeCell="H50" sqref="H50"/>
    </sheetView>
    <sheetView tabSelected="1" topLeftCell="B19" workbookViewId="1">
      <selection activeCell="J35" sqref="J35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4.5" customWidth="1"/>
    <col min="4" max="4" width="15.1640625" customWidth="1"/>
    <col min="5" max="5" width="19.5" customWidth="1"/>
    <col min="6" max="6" width="16.5" customWidth="1"/>
    <col min="7" max="7" width="17.1640625" customWidth="1"/>
    <col min="8" max="8" width="19.33203125" customWidth="1"/>
    <col min="9" max="9" width="18" customWidth="1"/>
    <col min="10" max="10" width="72.83203125" customWidth="1"/>
    <col min="11" max="11" width="27.1640625" bestFit="1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f>3+3+3+3+2+8+3+3</f>
        <v>28</v>
      </c>
    </row>
    <row r="2" spans="1:10" s="9" customFormat="1" ht="25" thickBot="1" x14ac:dyDescent="0.35">
      <c r="A2" s="1176" t="s">
        <v>181</v>
      </c>
      <c r="B2" s="1176"/>
      <c r="C2" s="1176"/>
      <c r="D2" s="8" t="s">
        <v>53</v>
      </c>
      <c r="H2" s="7"/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11</v>
      </c>
      <c r="E4" s="155" t="s">
        <v>184</v>
      </c>
      <c r="F4" t="s">
        <v>323</v>
      </c>
    </row>
    <row r="5" spans="1:10" x14ac:dyDescent="0.2">
      <c r="B5" s="1178"/>
      <c r="C5" s="12" t="s">
        <v>185</v>
      </c>
      <c r="D5" s="13">
        <f>VLOOKUP($D$2,Overview!$A$4:$AC$31,20,0)</f>
        <v>337.57499999999999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16.794776119402982</v>
      </c>
    </row>
    <row r="7" spans="1:10" x14ac:dyDescent="0.2">
      <c r="B7" s="1180" t="s">
        <v>186</v>
      </c>
      <c r="C7" s="16" t="s">
        <v>187</v>
      </c>
      <c r="D7" s="173">
        <v>11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305.42500000000001</v>
      </c>
    </row>
    <row r="9" spans="1:10" ht="17" thickBot="1" x14ac:dyDescent="0.25">
      <c r="B9" s="1182"/>
      <c r="C9" s="19" t="s">
        <v>10</v>
      </c>
      <c r="D9" s="20">
        <f>VLOOKUP($D$2,Overview!$A$4:$AC$31,26,0)</f>
        <v>15.195273631840795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1" ht="16.25" customHeight="1" x14ac:dyDescent="0.2">
      <c r="B17" s="156"/>
      <c r="C17" s="155" t="s">
        <v>191</v>
      </c>
      <c r="J17" s="25"/>
    </row>
    <row r="18" spans="2:11" ht="16.25" customHeight="1" x14ac:dyDescent="0.2">
      <c r="B18" s="156"/>
      <c r="C18" s="155" t="s">
        <v>192</v>
      </c>
      <c r="J18" s="25"/>
    </row>
    <row r="19" spans="2:11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1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1" x14ac:dyDescent="0.2">
      <c r="B21" s="34">
        <v>1</v>
      </c>
      <c r="C21" s="271" t="s">
        <v>324</v>
      </c>
      <c r="D21" s="118"/>
      <c r="E21" s="118">
        <v>1</v>
      </c>
      <c r="F21" s="118"/>
      <c r="G21" s="119"/>
      <c r="H21" s="119"/>
      <c r="I21" s="120"/>
      <c r="J21" s="1095" t="s">
        <v>325</v>
      </c>
      <c r="K21" s="1"/>
    </row>
    <row r="22" spans="2:11" x14ac:dyDescent="0.2">
      <c r="B22" s="36">
        <v>2</v>
      </c>
      <c r="C22" s="271" t="s">
        <v>326</v>
      </c>
      <c r="D22" s="121"/>
      <c r="E22" s="121">
        <v>1</v>
      </c>
      <c r="F22" s="121">
        <v>3</v>
      </c>
      <c r="G22" s="122"/>
      <c r="H22" s="122"/>
      <c r="I22" s="122"/>
      <c r="J22" s="1089" t="s">
        <v>327</v>
      </c>
      <c r="K22" s="1"/>
    </row>
    <row r="23" spans="2:11" x14ac:dyDescent="0.2">
      <c r="B23" s="36">
        <v>3</v>
      </c>
      <c r="C23" s="271" t="s">
        <v>328</v>
      </c>
      <c r="D23" s="121">
        <v>3</v>
      </c>
      <c r="E23" s="121"/>
      <c r="F23" s="121">
        <v>6</v>
      </c>
      <c r="G23" s="122"/>
      <c r="H23" s="122"/>
      <c r="I23" s="122">
        <v>3</v>
      </c>
      <c r="J23" s="1076" t="s">
        <v>329</v>
      </c>
    </row>
    <row r="24" spans="2:11" x14ac:dyDescent="0.2">
      <c r="B24" s="36">
        <v>4</v>
      </c>
      <c r="C24" s="271" t="s">
        <v>330</v>
      </c>
      <c r="D24" s="121"/>
      <c r="E24" s="121">
        <v>1</v>
      </c>
      <c r="F24" s="121"/>
      <c r="G24" s="122"/>
      <c r="H24" s="122"/>
      <c r="I24" s="122"/>
      <c r="J24" s="1089" t="s">
        <v>331</v>
      </c>
      <c r="K24" s="1"/>
    </row>
    <row r="25" spans="2:11" x14ac:dyDescent="0.2">
      <c r="B25" s="36">
        <v>5</v>
      </c>
      <c r="C25" s="271" t="s">
        <v>332</v>
      </c>
      <c r="D25" s="121"/>
      <c r="E25" s="121"/>
      <c r="F25" s="121"/>
      <c r="G25" s="122"/>
      <c r="H25" s="122"/>
      <c r="I25" s="122"/>
      <c r="J25" s="282"/>
      <c r="K25" s="1"/>
    </row>
    <row r="26" spans="2:11" x14ac:dyDescent="0.2">
      <c r="B26" s="36">
        <v>6</v>
      </c>
      <c r="C26" s="271" t="s">
        <v>333</v>
      </c>
      <c r="D26" s="121">
        <v>6</v>
      </c>
      <c r="E26" s="998"/>
      <c r="F26" s="121"/>
      <c r="G26" s="122">
        <v>9</v>
      </c>
      <c r="H26" s="122"/>
      <c r="I26" s="122"/>
      <c r="J26" s="1076" t="s">
        <v>334</v>
      </c>
      <c r="K26" s="1"/>
    </row>
    <row r="27" spans="2:11" x14ac:dyDescent="0.2">
      <c r="B27" s="36">
        <v>7</v>
      </c>
      <c r="C27" s="271" t="s">
        <v>335</v>
      </c>
      <c r="D27" s="121"/>
      <c r="E27" s="121"/>
      <c r="F27" s="121"/>
      <c r="G27" s="122"/>
      <c r="H27" s="122"/>
      <c r="I27" s="122"/>
      <c r="J27" s="282"/>
      <c r="K27" s="1"/>
    </row>
    <row r="28" spans="2:11" x14ac:dyDescent="0.2">
      <c r="B28" s="36">
        <v>8</v>
      </c>
      <c r="C28" s="271" t="s">
        <v>336</v>
      </c>
      <c r="D28" s="121"/>
      <c r="E28" s="121">
        <v>2</v>
      </c>
      <c r="F28" s="121"/>
      <c r="G28" s="122"/>
      <c r="H28" s="122"/>
      <c r="I28" s="122"/>
      <c r="J28" s="1076" t="s">
        <v>337</v>
      </c>
      <c r="K28" s="1"/>
    </row>
    <row r="29" spans="2:11" x14ac:dyDescent="0.2">
      <c r="B29" s="36">
        <v>9</v>
      </c>
      <c r="C29" s="271" t="s">
        <v>338</v>
      </c>
      <c r="D29" s="121"/>
      <c r="E29" s="121">
        <v>3</v>
      </c>
      <c r="F29" s="121">
        <v>3</v>
      </c>
      <c r="G29" s="122"/>
      <c r="H29" s="122"/>
      <c r="I29" s="122"/>
      <c r="J29" s="1089" t="s">
        <v>339</v>
      </c>
      <c r="K29" s="1"/>
    </row>
    <row r="30" spans="2:11" x14ac:dyDescent="0.2">
      <c r="B30" s="36">
        <v>10</v>
      </c>
      <c r="C30" s="271" t="s">
        <v>340</v>
      </c>
      <c r="D30" s="121"/>
      <c r="E30" s="121"/>
      <c r="F30" s="121">
        <v>11</v>
      </c>
      <c r="G30" s="122"/>
      <c r="H30" s="122"/>
      <c r="I30" s="122">
        <v>8</v>
      </c>
      <c r="J30" s="1076" t="s">
        <v>341</v>
      </c>
    </row>
    <row r="31" spans="2:11" x14ac:dyDescent="0.2">
      <c r="B31" s="36">
        <v>11</v>
      </c>
      <c r="C31" s="271" t="s">
        <v>342</v>
      </c>
      <c r="D31" s="121"/>
      <c r="E31" s="121"/>
      <c r="F31" s="121">
        <v>3</v>
      </c>
      <c r="G31" s="122"/>
      <c r="H31" s="122"/>
      <c r="I31" s="122">
        <v>3</v>
      </c>
      <c r="J31" s="1076" t="s">
        <v>343</v>
      </c>
    </row>
    <row r="32" spans="2:11" x14ac:dyDescent="0.2">
      <c r="B32" s="36">
        <v>12</v>
      </c>
      <c r="C32" s="37" t="s">
        <v>344</v>
      </c>
      <c r="D32" s="121"/>
      <c r="E32" s="121"/>
      <c r="F32" s="121"/>
      <c r="G32" s="122"/>
      <c r="H32" s="122">
        <v>6</v>
      </c>
      <c r="I32" s="122"/>
      <c r="J32" s="1075" t="s">
        <v>345</v>
      </c>
    </row>
    <row r="33" spans="2:10" x14ac:dyDescent="0.2">
      <c r="B33" s="36">
        <v>13</v>
      </c>
      <c r="C33" s="37" t="s">
        <v>344</v>
      </c>
      <c r="D33" s="121"/>
      <c r="E33" s="121"/>
      <c r="F33" s="121"/>
      <c r="G33" s="122"/>
      <c r="H33" s="122">
        <v>4</v>
      </c>
      <c r="I33" s="122"/>
      <c r="J33" s="282" t="s">
        <v>346</v>
      </c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9</v>
      </c>
      <c r="E37" s="128">
        <f t="shared" si="0"/>
        <v>8</v>
      </c>
      <c r="F37" s="128">
        <f t="shared" si="0"/>
        <v>26</v>
      </c>
      <c r="G37" s="129">
        <f t="shared" si="0"/>
        <v>9</v>
      </c>
      <c r="H37" s="129">
        <f t="shared" si="0"/>
        <v>10</v>
      </c>
      <c r="I37" s="129">
        <f t="shared" si="0"/>
        <v>14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5">
      <c r="B40" s="36">
        <v>1</v>
      </c>
      <c r="C40" s="57" t="s">
        <v>347</v>
      </c>
      <c r="D40" s="121">
        <v>3</v>
      </c>
      <c r="E40" s="121">
        <v>1</v>
      </c>
      <c r="F40" s="121"/>
      <c r="G40" s="126"/>
      <c r="H40" s="126"/>
      <c r="I40" s="126"/>
      <c r="J40" s="873" t="s">
        <v>348</v>
      </c>
    </row>
    <row r="41" spans="2:10" ht="19" x14ac:dyDescent="0.25">
      <c r="B41" s="36">
        <v>2</v>
      </c>
      <c r="C41" s="57" t="s">
        <v>349</v>
      </c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3</v>
      </c>
      <c r="E44" s="128">
        <f t="shared" ref="E44:F44" si="1">SUM(E40:E43)</f>
        <v>1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4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 t="shared" ref="B47:B49" si="3">SUM(E47:H47)</f>
        <v>188</v>
      </c>
      <c r="D47" s="58" t="s">
        <v>217</v>
      </c>
      <c r="E47" s="224">
        <f>($D$4*12)-$E$37-$F$37-$D$37</f>
        <v>89</v>
      </c>
      <c r="H47" s="111">
        <f>($D$7*12)-$H$37-$I$37-$G$37</f>
        <v>99</v>
      </c>
      <c r="J47" s="1185" t="s">
        <v>350</v>
      </c>
    </row>
    <row r="48" spans="2:10" s="57" customFormat="1" ht="19" x14ac:dyDescent="0.25">
      <c r="B48" s="231">
        <f t="shared" si="3"/>
        <v>58</v>
      </c>
      <c r="C48" s="58"/>
      <c r="D48" s="58" t="s">
        <v>218</v>
      </c>
      <c r="E48" s="224">
        <f>$E$37+$F$37</f>
        <v>34</v>
      </c>
      <c r="H48" s="111">
        <f>$H$37+$I$37</f>
        <v>24</v>
      </c>
      <c r="J48" s="1185"/>
    </row>
    <row r="49" spans="2:13" s="57" customFormat="1" ht="19" x14ac:dyDescent="0.25">
      <c r="B49" s="231">
        <f t="shared" si="3"/>
        <v>146.85074626865668</v>
      </c>
      <c r="C49" s="58"/>
      <c r="D49" s="58" t="s">
        <v>219</v>
      </c>
      <c r="E49" s="224">
        <f>(($D$6-$D$4)*15)-D44</f>
        <v>83.921641791044735</v>
      </c>
      <c r="H49" s="111">
        <f>(($D$9-$D$7)*15)-$G$44</f>
        <v>62.929104477611929</v>
      </c>
      <c r="J49" s="1185"/>
    </row>
    <row r="50" spans="2:13" s="57" customFormat="1" ht="20" thickBot="1" x14ac:dyDescent="0.3">
      <c r="B50" s="230">
        <f>SUM(E50:H50)</f>
        <v>392.85074626865668</v>
      </c>
      <c r="C50" s="59"/>
      <c r="D50" s="59" t="s">
        <v>220</v>
      </c>
      <c r="E50" s="106">
        <f>SUM(E47:E49)</f>
        <v>206.92164179104475</v>
      </c>
      <c r="H50" s="112">
        <f>SUM(H47:H49)</f>
        <v>185.92910447761193</v>
      </c>
      <c r="J50" s="1185"/>
    </row>
    <row r="51" spans="2:13" s="60" customFormat="1" ht="21" thickTop="1" thickBot="1" x14ac:dyDescent="0.3">
      <c r="C51" s="61"/>
      <c r="D51" s="62" t="s">
        <v>221</v>
      </c>
      <c r="E51" s="107"/>
      <c r="H51" s="113">
        <f>-E51</f>
        <v>0</v>
      </c>
      <c r="J51" s="1185"/>
    </row>
    <row r="52" spans="2:13" s="57" customFormat="1" ht="20" thickBot="1" x14ac:dyDescent="0.3">
      <c r="D52" s="63" t="s">
        <v>222</v>
      </c>
      <c r="E52" s="108">
        <f>SUM(E50:E51)</f>
        <v>206.92164179104475</v>
      </c>
      <c r="G52" s="63"/>
      <c r="H52" s="114">
        <f>SUM(H50:H51)</f>
        <v>185.92910447761193</v>
      </c>
      <c r="I52" s="64"/>
      <c r="J52" s="1185"/>
    </row>
    <row r="53" spans="2:13" s="57" customFormat="1" ht="19" x14ac:dyDescent="0.25">
      <c r="D53" s="201" t="s">
        <v>278</v>
      </c>
      <c r="E53" s="202">
        <v>207</v>
      </c>
      <c r="F53" s="383" t="s">
        <v>224</v>
      </c>
      <c r="G53" s="204"/>
      <c r="H53" s="115"/>
      <c r="I53" s="66"/>
      <c r="J53" s="1185"/>
    </row>
    <row r="54" spans="2:13" s="57" customFormat="1" ht="19" x14ac:dyDescent="0.25">
      <c r="D54" s="71" t="s">
        <v>225</v>
      </c>
      <c r="E54" s="109">
        <f>E53-E52</f>
        <v>7.835820895525103E-2</v>
      </c>
      <c r="G54" s="65"/>
      <c r="H54" s="116">
        <f>H53-H52</f>
        <v>-185.92910447761193</v>
      </c>
      <c r="I54" s="66"/>
      <c r="J54" s="1185"/>
    </row>
    <row r="55" spans="2:13" s="57" customFormat="1" ht="20" thickBot="1" x14ac:dyDescent="0.3">
      <c r="D55" s="66" t="s">
        <v>226</v>
      </c>
      <c r="E55" s="105">
        <f>IFERROR(($D$5*5)/(E52/3),0)</f>
        <v>24.471219908033547</v>
      </c>
      <c r="H55" s="117">
        <f>IFERROR(5*$D$8/(H52/3),0)</f>
        <v>24.640440305845996</v>
      </c>
      <c r="J55" s="1186"/>
    </row>
    <row r="57" spans="2:13" x14ac:dyDescent="0.2">
      <c r="D57" t="s">
        <v>227</v>
      </c>
      <c r="E57" s="152">
        <f>+$E$49+$E$48+$H$48+$H$49+$D$44+$E$44+$F$44+$G$44+$H$44+$I$44</f>
        <v>208.85074626865668</v>
      </c>
      <c r="F57" s="11" t="s">
        <v>228</v>
      </c>
    </row>
    <row r="58" spans="2:13" x14ac:dyDescent="0.2">
      <c r="E58" s="952">
        <f>E57*2507</f>
        <v>523588.82089552231</v>
      </c>
    </row>
    <row r="60" spans="2:13" ht="68" x14ac:dyDescent="0.25">
      <c r="B60" s="232" t="s">
        <v>279</v>
      </c>
      <c r="C60" s="456" t="s">
        <v>230</v>
      </c>
      <c r="D60" s="457" t="s">
        <v>280</v>
      </c>
      <c r="E60" s="458" t="s">
        <v>234</v>
      </c>
      <c r="F60" s="456" t="s">
        <v>235</v>
      </c>
      <c r="G60" s="459" t="s">
        <v>236</v>
      </c>
      <c r="H60" s="459" t="s">
        <v>237</v>
      </c>
      <c r="I60" s="459" t="s">
        <v>238</v>
      </c>
      <c r="J60" s="460" t="s">
        <v>281</v>
      </c>
      <c r="K60" s="458" t="s">
        <v>282</v>
      </c>
      <c r="L60" s="458" t="s">
        <v>243</v>
      </c>
      <c r="M60" s="460" t="s">
        <v>244</v>
      </c>
    </row>
    <row r="61" spans="2:13" ht="17" x14ac:dyDescent="0.25">
      <c r="C61" s="461" t="s">
        <v>351</v>
      </c>
      <c r="D61" s="462" t="s">
        <v>246</v>
      </c>
      <c r="E61" s="464" t="s">
        <v>247</v>
      </c>
      <c r="F61" s="461" t="s">
        <v>248</v>
      </c>
      <c r="G61" s="465">
        <v>3</v>
      </c>
      <c r="H61" s="465">
        <v>1</v>
      </c>
      <c r="I61" s="465"/>
      <c r="J61" s="467">
        <v>16</v>
      </c>
      <c r="K61" s="468"/>
      <c r="L61" s="469"/>
      <c r="M61" s="470" t="s">
        <v>249</v>
      </c>
    </row>
    <row r="62" spans="2:13" ht="17" x14ac:dyDescent="0.25">
      <c r="C62" s="472" t="s">
        <v>352</v>
      </c>
      <c r="D62" s="472"/>
      <c r="E62" s="472"/>
      <c r="F62" s="472"/>
      <c r="G62" s="472"/>
      <c r="H62" s="472"/>
      <c r="I62" s="472" t="s">
        <v>321</v>
      </c>
      <c r="J62" s="474"/>
      <c r="K62" s="475"/>
      <c r="L62" s="473"/>
      <c r="M62" s="474"/>
    </row>
    <row r="63" spans="2:13" ht="17" x14ac:dyDescent="0.25">
      <c r="C63" s="472" t="s">
        <v>353</v>
      </c>
      <c r="D63" s="472"/>
      <c r="E63" s="472"/>
      <c r="F63" s="472"/>
      <c r="G63" s="472"/>
      <c r="H63" s="472"/>
      <c r="I63" s="472" t="s">
        <v>354</v>
      </c>
      <c r="J63" s="474"/>
      <c r="K63" s="475"/>
      <c r="L63" s="473"/>
      <c r="M63" s="474"/>
    </row>
    <row r="64" spans="2:13" ht="17" x14ac:dyDescent="0.25">
      <c r="C64" s="471" t="s">
        <v>355</v>
      </c>
      <c r="D64" s="476"/>
      <c r="E64" s="478"/>
      <c r="F64" s="471"/>
      <c r="G64" s="479"/>
      <c r="H64" s="479"/>
      <c r="I64" s="479" t="s">
        <v>356</v>
      </c>
      <c r="J64" s="480"/>
      <c r="K64" s="481"/>
      <c r="L64" s="482"/>
      <c r="M64" s="474"/>
    </row>
    <row r="65" spans="2:13" ht="17" x14ac:dyDescent="0.25">
      <c r="C65" s="461" t="s">
        <v>357</v>
      </c>
      <c r="D65" s="462" t="s">
        <v>300</v>
      </c>
      <c r="E65" s="464" t="s">
        <v>252</v>
      </c>
      <c r="F65" s="461" t="s">
        <v>248</v>
      </c>
      <c r="G65" s="465" t="s">
        <v>301</v>
      </c>
      <c r="H65" s="465">
        <v>2</v>
      </c>
      <c r="I65" s="465" t="s">
        <v>358</v>
      </c>
      <c r="J65" s="467">
        <v>11</v>
      </c>
      <c r="K65" s="468"/>
      <c r="L65" s="469"/>
      <c r="M65" s="470" t="s">
        <v>359</v>
      </c>
    </row>
    <row r="66" spans="2:13" ht="17" x14ac:dyDescent="0.25">
      <c r="C66" s="461" t="s">
        <v>360</v>
      </c>
      <c r="D66" s="462" t="s">
        <v>251</v>
      </c>
      <c r="E66" s="464" t="s">
        <v>247</v>
      </c>
      <c r="F66" s="461" t="s">
        <v>248</v>
      </c>
      <c r="G66" s="465">
        <v>3</v>
      </c>
      <c r="H66" s="465">
        <v>1</v>
      </c>
      <c r="I66" s="465"/>
      <c r="J66" s="467">
        <v>6</v>
      </c>
      <c r="K66" s="468"/>
      <c r="L66" s="469"/>
      <c r="M66" s="470" t="s">
        <v>249</v>
      </c>
    </row>
    <row r="67" spans="2:13" ht="17" x14ac:dyDescent="0.25">
      <c r="C67" s="461" t="s">
        <v>361</v>
      </c>
      <c r="D67" s="462" t="s">
        <v>300</v>
      </c>
      <c r="E67" s="464" t="s">
        <v>252</v>
      </c>
      <c r="F67" s="461" t="s">
        <v>248</v>
      </c>
      <c r="G67" s="465" t="s">
        <v>301</v>
      </c>
      <c r="H67" s="465">
        <v>2</v>
      </c>
      <c r="I67" s="465" t="s">
        <v>358</v>
      </c>
      <c r="J67" s="467">
        <v>27</v>
      </c>
      <c r="K67" s="468"/>
      <c r="L67" s="469"/>
      <c r="M67" s="470" t="s">
        <v>359</v>
      </c>
    </row>
    <row r="68" spans="2:13" ht="17" x14ac:dyDescent="0.25">
      <c r="B68">
        <v>1</v>
      </c>
      <c r="C68" s="505" t="s">
        <v>362</v>
      </c>
      <c r="D68" s="506" t="s">
        <v>287</v>
      </c>
      <c r="E68" s="507" t="s">
        <v>252</v>
      </c>
      <c r="F68" s="505" t="s">
        <v>285</v>
      </c>
      <c r="G68" s="508">
        <v>1</v>
      </c>
      <c r="H68" s="508" t="s">
        <v>249</v>
      </c>
      <c r="I68" s="508" t="s">
        <v>363</v>
      </c>
      <c r="J68" s="509">
        <v>30</v>
      </c>
      <c r="K68" s="510"/>
      <c r="L68" s="511"/>
      <c r="M68" s="512" t="s">
        <v>249</v>
      </c>
    </row>
    <row r="69" spans="2:13" ht="17" x14ac:dyDescent="0.25">
      <c r="B69">
        <v>1</v>
      </c>
      <c r="C69" s="505" t="s">
        <v>349</v>
      </c>
      <c r="D69" s="513" t="s">
        <v>287</v>
      </c>
      <c r="E69" s="507" t="s">
        <v>252</v>
      </c>
      <c r="F69" s="505" t="s">
        <v>285</v>
      </c>
      <c r="G69" s="508">
        <v>1</v>
      </c>
      <c r="H69" s="508" t="s">
        <v>249</v>
      </c>
      <c r="I69" s="508"/>
      <c r="J69" s="509">
        <v>30</v>
      </c>
      <c r="K69" s="514"/>
      <c r="L69" s="515"/>
      <c r="M69" s="512" t="s">
        <v>249</v>
      </c>
    </row>
    <row r="70" spans="2:13" ht="17" x14ac:dyDescent="0.25">
      <c r="C70" s="461" t="s">
        <v>364</v>
      </c>
      <c r="D70" s="483" t="s">
        <v>251</v>
      </c>
      <c r="E70" s="464" t="s">
        <v>252</v>
      </c>
      <c r="F70" s="461" t="s">
        <v>248</v>
      </c>
      <c r="G70" s="465">
        <v>3</v>
      </c>
      <c r="H70" s="465">
        <v>1</v>
      </c>
      <c r="I70" s="465"/>
      <c r="J70" s="467">
        <v>6</v>
      </c>
      <c r="K70" s="484"/>
      <c r="L70" s="485"/>
      <c r="M70" s="470" t="s">
        <v>249</v>
      </c>
    </row>
    <row r="71" spans="2:13" ht="17" x14ac:dyDescent="0.25">
      <c r="C71" s="461" t="s">
        <v>365</v>
      </c>
      <c r="D71" s="483" t="s">
        <v>300</v>
      </c>
      <c r="E71" s="464" t="s">
        <v>252</v>
      </c>
      <c r="F71" s="461" t="s">
        <v>248</v>
      </c>
      <c r="G71" s="465" t="s">
        <v>301</v>
      </c>
      <c r="H71" s="465">
        <v>2</v>
      </c>
      <c r="I71" s="465" t="s">
        <v>358</v>
      </c>
      <c r="J71" s="467">
        <v>27</v>
      </c>
      <c r="K71" s="484"/>
      <c r="L71" s="485"/>
      <c r="M71" s="470" t="s">
        <v>359</v>
      </c>
    </row>
    <row r="72" spans="2:13" ht="17" x14ac:dyDescent="0.25">
      <c r="C72" s="461" t="s">
        <v>366</v>
      </c>
      <c r="D72" s="483" t="s">
        <v>300</v>
      </c>
      <c r="E72" s="464" t="s">
        <v>247</v>
      </c>
      <c r="F72" s="461" t="s">
        <v>248</v>
      </c>
      <c r="G72" s="465" t="s">
        <v>301</v>
      </c>
      <c r="H72" s="465">
        <v>2</v>
      </c>
      <c r="I72" s="465" t="s">
        <v>358</v>
      </c>
      <c r="J72" s="467">
        <v>18</v>
      </c>
      <c r="K72" s="484"/>
      <c r="L72" s="485"/>
      <c r="M72" s="470" t="s">
        <v>359</v>
      </c>
    </row>
    <row r="73" spans="2:13" ht="17" x14ac:dyDescent="0.25">
      <c r="B73">
        <v>1</v>
      </c>
      <c r="C73" s="505" t="s">
        <v>367</v>
      </c>
      <c r="D73" s="513" t="s">
        <v>287</v>
      </c>
      <c r="E73" s="507" t="s">
        <v>368</v>
      </c>
      <c r="F73" s="505" t="s">
        <v>285</v>
      </c>
      <c r="G73" s="508">
        <v>1</v>
      </c>
      <c r="H73" s="508" t="s">
        <v>249</v>
      </c>
      <c r="I73" s="516"/>
      <c r="J73" s="509">
        <v>30</v>
      </c>
      <c r="K73" s="517"/>
      <c r="L73" s="518"/>
      <c r="M73" s="512" t="s">
        <v>249</v>
      </c>
    </row>
    <row r="74" spans="2:13" ht="17" x14ac:dyDescent="0.25">
      <c r="B74">
        <v>1</v>
      </c>
      <c r="C74" s="505" t="s">
        <v>369</v>
      </c>
      <c r="D74" s="506" t="s">
        <v>287</v>
      </c>
      <c r="E74" s="507" t="s">
        <v>284</v>
      </c>
      <c r="F74" s="505" t="s">
        <v>285</v>
      </c>
      <c r="G74" s="508">
        <v>1</v>
      </c>
      <c r="H74" s="508" t="s">
        <v>249</v>
      </c>
      <c r="I74" s="508"/>
      <c r="J74" s="509">
        <v>30</v>
      </c>
      <c r="K74" s="510"/>
      <c r="L74" s="511"/>
      <c r="M74" s="512" t="s">
        <v>249</v>
      </c>
    </row>
    <row r="75" spans="2:13" ht="17" x14ac:dyDescent="0.25">
      <c r="C75" s="471" t="s">
        <v>370</v>
      </c>
      <c r="D75" s="476"/>
      <c r="E75" s="487"/>
      <c r="F75" s="486"/>
      <c r="G75" s="488"/>
      <c r="H75" s="488"/>
      <c r="I75" s="479" t="s">
        <v>356</v>
      </c>
      <c r="J75" s="480"/>
      <c r="K75" s="489"/>
      <c r="L75" s="490"/>
      <c r="M75" s="474"/>
    </row>
    <row r="76" spans="2:13" ht="17" x14ac:dyDescent="0.25">
      <c r="C76" s="472" t="s">
        <v>371</v>
      </c>
      <c r="D76" s="472"/>
      <c r="E76" s="472"/>
      <c r="F76" s="472"/>
      <c r="G76" s="472"/>
      <c r="H76" s="472"/>
      <c r="I76" s="472" t="s">
        <v>321</v>
      </c>
      <c r="J76" s="491"/>
      <c r="K76" s="472"/>
      <c r="L76" s="473"/>
      <c r="M76" s="474"/>
    </row>
    <row r="77" spans="2:13" ht="17" x14ac:dyDescent="0.25">
      <c r="C77" s="492" t="s">
        <v>372</v>
      </c>
      <c r="D77" s="493"/>
      <c r="E77" s="494"/>
      <c r="F77" s="492"/>
      <c r="G77" s="495"/>
      <c r="H77" s="495"/>
      <c r="I77" s="495" t="s">
        <v>373</v>
      </c>
      <c r="J77" s="496"/>
      <c r="K77" s="497"/>
      <c r="L77" s="498"/>
      <c r="M77" s="474"/>
    </row>
    <row r="78" spans="2:13" ht="17" x14ac:dyDescent="0.25">
      <c r="C78" s="474" t="s">
        <v>374</v>
      </c>
      <c r="D78" s="474"/>
      <c r="E78" s="474"/>
      <c r="F78" s="474"/>
      <c r="G78" s="474"/>
      <c r="H78" s="474"/>
      <c r="I78" s="474" t="s">
        <v>375</v>
      </c>
      <c r="J78" s="474"/>
      <c r="K78" s="474"/>
      <c r="L78" s="474"/>
      <c r="M78" s="474"/>
    </row>
    <row r="79" spans="2:13" ht="17" x14ac:dyDescent="0.25">
      <c r="B79">
        <v>1</v>
      </c>
      <c r="C79" s="519" t="s">
        <v>376</v>
      </c>
      <c r="D79" s="513" t="s">
        <v>300</v>
      </c>
      <c r="E79" s="520" t="s">
        <v>247</v>
      </c>
      <c r="F79" s="519" t="s">
        <v>285</v>
      </c>
      <c r="G79" s="521" t="s">
        <v>301</v>
      </c>
      <c r="H79" s="521">
        <v>2</v>
      </c>
      <c r="I79" s="521" t="s">
        <v>377</v>
      </c>
      <c r="J79" s="509">
        <v>30</v>
      </c>
      <c r="K79" s="522"/>
      <c r="L79" s="523"/>
      <c r="M79" s="512" t="s">
        <v>378</v>
      </c>
    </row>
    <row r="80" spans="2:13" ht="17" x14ac:dyDescent="0.25">
      <c r="C80" s="499" t="s">
        <v>379</v>
      </c>
      <c r="D80" s="500"/>
      <c r="E80" s="501"/>
      <c r="F80" s="499"/>
      <c r="G80" s="502"/>
      <c r="H80" s="502"/>
      <c r="I80" s="502" t="s">
        <v>356</v>
      </c>
      <c r="J80" s="480"/>
      <c r="K80" s="503"/>
      <c r="L80" s="504"/>
      <c r="M80" s="474"/>
    </row>
    <row r="81" spans="2:13" ht="17" x14ac:dyDescent="0.25">
      <c r="B81">
        <v>1</v>
      </c>
      <c r="C81" s="519" t="s">
        <v>380</v>
      </c>
      <c r="D81" s="513" t="s">
        <v>246</v>
      </c>
      <c r="E81" s="520" t="s">
        <v>284</v>
      </c>
      <c r="F81" s="519" t="s">
        <v>285</v>
      </c>
      <c r="G81" s="521">
        <v>1</v>
      </c>
      <c r="H81" s="521" t="s">
        <v>249</v>
      </c>
      <c r="I81" s="521"/>
      <c r="J81" s="509">
        <v>30</v>
      </c>
      <c r="K81" s="522"/>
      <c r="L81" s="523"/>
      <c r="M81" s="512" t="s">
        <v>249</v>
      </c>
    </row>
    <row r="82" spans="2:13" x14ac:dyDescent="0.2">
      <c r="B82" s="228">
        <f>SUM(B61:B81)</f>
        <v>6</v>
      </c>
      <c r="L82" s="443">
        <f>J68+J69+J73+J74+J79+J81</f>
        <v>180</v>
      </c>
    </row>
  </sheetData>
  <sheetProtection algorithmName="SHA-512" hashValue="GyNt+lFQQXorSIzw7At1lRgDRZvIUeoI4UDuA2NTY88dgzHNjUzrIvyQutVPLM9k6I5JA3iX0rbws9OKP5mXxw==" saltValue="bCKXBRDAqRlyDf8HeUY/Zg==" spinCount="100000" sheet="1" objects="1" scenarios="1"/>
  <sortState xmlns:xlrd2="http://schemas.microsoft.com/office/spreadsheetml/2017/richdata2" ref="C21:J31">
    <sortCondition ref="C21:C31"/>
  </sortState>
  <mergeCells count="6">
    <mergeCell ref="J47:J55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2B2FD47-9844-4C6A-A013-266D44EA4A33}">
          <x14:formula1>
            <xm:f>'Data Elements'!$F$3:$F$31</xm:f>
          </x14:formula1>
          <xm:sqref>D2</xm:sqref>
        </x14:dataValidation>
        <x14:dataValidation type="list" allowBlank="1" showInputMessage="1" showErrorMessage="1" xr:uid="{76D9FF76-9E14-47A1-B9CC-B96D67477344}">
          <x14:formula1>
            <xm:f>'Data Elements'!$A$3:$A$101</xm:f>
          </x14:formula1>
          <xm:sqref>C36</xm:sqref>
        </x14:dataValidation>
        <x14:dataValidation type="list" allowBlank="1" showInputMessage="1" showErrorMessage="1" xr:uid="{0D4AACE6-EFD0-4B06-BAB3-8EC520F3B972}">
          <x14:formula1>
            <xm:f>'Data Elements'!$A$3:$A$179</xm:f>
          </x14:formula1>
          <xm:sqref>C21:C35 C42:C43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6080-F4C1-4C83-AA50-AA2E8FFC8EB3}">
  <sheetPr>
    <tabColor rgb="FF000000"/>
  </sheetPr>
  <dimension ref="A1:J58"/>
  <sheetViews>
    <sheetView topLeftCell="A35" workbookViewId="0">
      <selection activeCell="H50" sqref="H50"/>
    </sheetView>
    <sheetView topLeftCell="A30" workbookViewId="1">
      <selection activeCell="F54" sqref="F54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5.6640625" customWidth="1"/>
    <col min="4" max="4" width="33.83203125" customWidth="1"/>
    <col min="5" max="5" width="14.1640625" customWidth="1"/>
    <col min="6" max="6" width="11.6640625" customWidth="1"/>
    <col min="7" max="7" width="5" bestFit="1" customWidth="1"/>
    <col min="8" max="8" width="19.33203125" customWidth="1"/>
    <col min="9" max="9" width="18.1640625" customWidth="1"/>
    <col min="10" max="10" width="54.1640625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97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3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21.734999999999999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3.45</v>
      </c>
    </row>
    <row r="7" spans="1:10" x14ac:dyDescent="0.2">
      <c r="B7" s="1180" t="s">
        <v>186</v>
      </c>
      <c r="C7" s="16" t="s">
        <v>187</v>
      </c>
      <c r="D7" s="173">
        <v>3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19.664999999999999</v>
      </c>
    </row>
    <row r="9" spans="1:10" ht="17" thickBot="1" x14ac:dyDescent="0.25">
      <c r="B9" s="1182"/>
      <c r="C9" s="19" t="s">
        <v>10</v>
      </c>
      <c r="D9" s="20">
        <f>VLOOKUP($D$2,Overview!$A$4:$AC$31,26,0)</f>
        <v>3.1214285714285714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0" ht="16.25" customHeight="1" x14ac:dyDescent="0.2">
      <c r="B17" s="156"/>
      <c r="C17" s="155" t="s">
        <v>191</v>
      </c>
      <c r="J17" s="25"/>
    </row>
    <row r="18" spans="2:10" ht="16.25" customHeight="1" x14ac:dyDescent="0.2">
      <c r="B18" s="156"/>
      <c r="C18" s="155" t="s">
        <v>192</v>
      </c>
      <c r="J18" s="25"/>
    </row>
    <row r="19" spans="2:10" s="1" customFormat="1" ht="19" x14ac:dyDescent="0.25">
      <c r="B19" s="26"/>
      <c r="C19" s="27"/>
      <c r="D19" s="1183" t="s">
        <v>193</v>
      </c>
      <c r="E19" s="1183"/>
      <c r="F19" s="1183"/>
      <c r="G19" s="1184" t="s">
        <v>194</v>
      </c>
      <c r="H19" s="1184"/>
      <c r="I19" s="1184"/>
      <c r="J19" s="28"/>
    </row>
    <row r="20" spans="2:10" s="1" customFormat="1" ht="17" thickBot="1" x14ac:dyDescent="0.25">
      <c r="B20" s="29"/>
      <c r="C20" s="174" t="s">
        <v>257</v>
      </c>
      <c r="D20" s="30" t="s">
        <v>196</v>
      </c>
      <c r="E20" s="30" t="s">
        <v>43</v>
      </c>
      <c r="F20" s="30" t="s">
        <v>197</v>
      </c>
      <c r="G20" s="31" t="s">
        <v>196</v>
      </c>
      <c r="H20" s="31" t="s">
        <v>198</v>
      </c>
      <c r="I20" s="32" t="s">
        <v>197</v>
      </c>
      <c r="J20" s="33" t="s">
        <v>199</v>
      </c>
    </row>
    <row r="21" spans="2:10" x14ac:dyDescent="0.2">
      <c r="B21" s="34">
        <v>1</v>
      </c>
      <c r="C21" s="233" t="s">
        <v>381</v>
      </c>
      <c r="D21" s="118"/>
      <c r="E21" s="118"/>
      <c r="F21" s="118"/>
      <c r="G21" s="119"/>
      <c r="H21" s="119"/>
      <c r="I21" s="120"/>
      <c r="J21" s="336"/>
    </row>
    <row r="22" spans="2:10" x14ac:dyDescent="0.2">
      <c r="B22" s="36">
        <v>2</v>
      </c>
      <c r="C22" s="37" t="s">
        <v>382</v>
      </c>
      <c r="D22" s="121"/>
      <c r="E22" s="121"/>
      <c r="F22" s="121">
        <v>6</v>
      </c>
      <c r="G22" s="122"/>
      <c r="H22" s="122"/>
      <c r="I22" s="122"/>
      <c r="J22" s="35" t="s">
        <v>383</v>
      </c>
    </row>
    <row r="23" spans="2:10" x14ac:dyDescent="0.2">
      <c r="B23" s="36">
        <v>3</v>
      </c>
      <c r="C23" s="37" t="s">
        <v>384</v>
      </c>
      <c r="D23" s="121"/>
      <c r="E23" s="121"/>
      <c r="F23" s="121">
        <v>3</v>
      </c>
      <c r="G23" s="122"/>
      <c r="H23" s="122"/>
      <c r="I23" s="122"/>
      <c r="J23" s="35" t="s">
        <v>385</v>
      </c>
    </row>
    <row r="24" spans="2:10" x14ac:dyDescent="0.2">
      <c r="B24" s="36">
        <v>4</v>
      </c>
      <c r="C24" s="37"/>
      <c r="D24" s="121"/>
      <c r="E24" s="121"/>
      <c r="F24" s="121"/>
      <c r="G24" s="122"/>
      <c r="H24" s="122"/>
      <c r="I24" s="122"/>
      <c r="J24" s="35"/>
    </row>
    <row r="25" spans="2:10" x14ac:dyDescent="0.2">
      <c r="B25" s="36">
        <v>5</v>
      </c>
      <c r="C25" s="37"/>
      <c r="D25" s="121"/>
      <c r="E25" s="121"/>
      <c r="F25" s="121"/>
      <c r="G25" s="122"/>
      <c r="H25" s="122"/>
      <c r="I25" s="122"/>
      <c r="J25" s="38"/>
    </row>
    <row r="26" spans="2:10" x14ac:dyDescent="0.2">
      <c r="B26" s="36">
        <v>6</v>
      </c>
      <c r="C26" s="37"/>
      <c r="D26" s="121"/>
      <c r="E26" s="121"/>
      <c r="F26" s="121"/>
      <c r="G26" s="122"/>
      <c r="H26" s="122"/>
      <c r="I26" s="122"/>
      <c r="J26" s="38"/>
    </row>
    <row r="27" spans="2:10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</row>
    <row r="28" spans="2:10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</row>
    <row r="29" spans="2:10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</row>
    <row r="30" spans="2:10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</row>
    <row r="31" spans="2:10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</row>
    <row r="32" spans="2:10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</row>
    <row r="33" spans="2:10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</row>
    <row r="34" spans="2:10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</row>
    <row r="35" spans="2:10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</row>
    <row r="36" spans="2:10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0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0</v>
      </c>
      <c r="F37" s="128">
        <f t="shared" si="0"/>
        <v>9</v>
      </c>
      <c r="G37" s="129">
        <f t="shared" si="0"/>
        <v>0</v>
      </c>
      <c r="H37" s="129">
        <f t="shared" si="0"/>
        <v>0</v>
      </c>
      <c r="I37" s="129">
        <f t="shared" si="0"/>
        <v>0</v>
      </c>
      <c r="J37" s="44"/>
    </row>
    <row r="38" spans="2:10" s="11" customFormat="1" ht="6" customHeight="1" thickBot="1" x14ac:dyDescent="0.3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0" s="1" customFormat="1" x14ac:dyDescent="0.2">
      <c r="B39" s="48"/>
      <c r="C39" s="175" t="s">
        <v>275</v>
      </c>
      <c r="D39" s="50" t="s">
        <v>196</v>
      </c>
      <c r="E39" s="50" t="s">
        <v>43</v>
      </c>
      <c r="F39" s="50" t="s">
        <v>197</v>
      </c>
      <c r="G39" s="51" t="s">
        <v>196</v>
      </c>
      <c r="H39" s="51" t="s">
        <v>198</v>
      </c>
      <c r="I39" s="51" t="s">
        <v>197</v>
      </c>
      <c r="J39" s="52" t="s">
        <v>199</v>
      </c>
    </row>
    <row r="40" spans="2:10" ht="16.25" customHeight="1" x14ac:dyDescent="0.2">
      <c r="B40" s="36">
        <v>1</v>
      </c>
      <c r="C40" s="37"/>
      <c r="D40" s="121"/>
      <c r="E40" s="121"/>
      <c r="F40" s="121"/>
      <c r="G40" s="126"/>
      <c r="H40" s="126"/>
      <c r="I40" s="126"/>
      <c r="J40" s="38"/>
    </row>
    <row r="41" spans="2:10" x14ac:dyDescent="0.2">
      <c r="B41" s="36">
        <v>2</v>
      </c>
      <c r="C41" s="37"/>
      <c r="D41" s="121"/>
      <c r="E41" s="121"/>
      <c r="F41" s="121"/>
      <c r="G41" s="126"/>
      <c r="H41" s="126"/>
      <c r="I41" s="126"/>
      <c r="J41" s="38"/>
    </row>
    <row r="42" spans="2:10" x14ac:dyDescent="0.2">
      <c r="B42" s="36">
        <v>3</v>
      </c>
      <c r="C42" s="37"/>
      <c r="D42" s="121"/>
      <c r="E42" s="121"/>
      <c r="F42" s="121"/>
      <c r="G42" s="126"/>
      <c r="H42" s="126"/>
      <c r="I42" s="126"/>
      <c r="J42" s="38"/>
    </row>
    <row r="43" spans="2:10" ht="17" thickBot="1" x14ac:dyDescent="0.25">
      <c r="B43" s="39">
        <v>4</v>
      </c>
      <c r="C43" s="37"/>
      <c r="D43" s="123"/>
      <c r="E43" s="123"/>
      <c r="F43" s="123"/>
      <c r="G43" s="127"/>
      <c r="H43" s="127"/>
      <c r="I43" s="127"/>
      <c r="J43" s="41"/>
    </row>
    <row r="44" spans="2:10" s="11" customFormat="1" ht="21" thickTop="1" thickBot="1" x14ac:dyDescent="0.3">
      <c r="B44" s="42"/>
      <c r="C44" s="43" t="s">
        <v>214</v>
      </c>
      <c r="D44" s="128">
        <f>SUM(D40:D43)</f>
        <v>0</v>
      </c>
      <c r="E44" s="128">
        <f t="shared" ref="E44:F44" si="1">SUM(E40:E43)</f>
        <v>0</v>
      </c>
      <c r="F44" s="128">
        <f t="shared" si="1"/>
        <v>0</v>
      </c>
      <c r="G44" s="129">
        <f>SUM(G40:G43)</f>
        <v>0</v>
      </c>
      <c r="H44" s="129">
        <f t="shared" ref="H44:I44" si="2">SUM(H40:H43)</f>
        <v>0</v>
      </c>
      <c r="I44" s="129">
        <f t="shared" si="2"/>
        <v>0</v>
      </c>
      <c r="J44" s="53">
        <f>SUM(D44:I44)</f>
        <v>0</v>
      </c>
    </row>
    <row r="45" spans="2:10" ht="6" customHeight="1" thickBot="1" x14ac:dyDescent="0.25"/>
    <row r="46" spans="2:10" s="54" customFormat="1" ht="19" x14ac:dyDescent="0.25">
      <c r="B46" s="229" t="s">
        <v>215</v>
      </c>
      <c r="D46" s="72"/>
      <c r="E46" s="72" t="s">
        <v>182</v>
      </c>
      <c r="F46" s="72"/>
      <c r="G46" s="55"/>
      <c r="H46" s="55" t="s">
        <v>186</v>
      </c>
      <c r="I46" s="55"/>
      <c r="J46" s="56" t="s">
        <v>216</v>
      </c>
    </row>
    <row r="47" spans="2:10" s="57" customFormat="1" ht="19" x14ac:dyDescent="0.25">
      <c r="B47" s="231">
        <f>SUM(E47:H47)</f>
        <v>63</v>
      </c>
      <c r="D47" s="58" t="s">
        <v>217</v>
      </c>
      <c r="E47" s="224">
        <f>($D$4*12)-$E$37-$F$37-$D$37</f>
        <v>27</v>
      </c>
      <c r="H47" s="111">
        <f>($D$7*12)-$H$37-$I$37-$G$37</f>
        <v>36</v>
      </c>
      <c r="J47" s="1185" t="s">
        <v>386</v>
      </c>
    </row>
    <row r="48" spans="2:10" s="57" customFormat="1" ht="19" x14ac:dyDescent="0.25">
      <c r="B48" s="231">
        <f t="shared" ref="B48:B50" si="3">SUM(E48:H48)</f>
        <v>9</v>
      </c>
      <c r="C48" s="58"/>
      <c r="D48" s="58" t="s">
        <v>218</v>
      </c>
      <c r="E48" s="224">
        <f>$E$37+$F$37</f>
        <v>9</v>
      </c>
      <c r="H48" s="111">
        <f>$H$37+$I$37</f>
        <v>0</v>
      </c>
      <c r="J48" s="1185"/>
    </row>
    <row r="49" spans="2:10" s="57" customFormat="1" ht="19" x14ac:dyDescent="0.25">
      <c r="B49" s="231">
        <f t="shared" si="3"/>
        <v>8.5714285714285747</v>
      </c>
      <c r="C49" s="58"/>
      <c r="D49" s="58" t="s">
        <v>219</v>
      </c>
      <c r="E49" s="224">
        <f>(($D$6-$D$4)*15)-D44</f>
        <v>6.7500000000000027</v>
      </c>
      <c r="H49" s="111">
        <f>(($D$9-$D$7)*15)-$G$44</f>
        <v>1.8214285714285716</v>
      </c>
      <c r="J49" s="1185"/>
    </row>
    <row r="50" spans="2:10" s="57" customFormat="1" ht="19" x14ac:dyDescent="0.25">
      <c r="B50" s="1094">
        <f t="shared" si="3"/>
        <v>80.571428571428569</v>
      </c>
      <c r="C50" s="59"/>
      <c r="D50" s="59" t="s">
        <v>220</v>
      </c>
      <c r="E50" s="106">
        <f>SUM(E47:E49)</f>
        <v>42.75</v>
      </c>
      <c r="F50" s="57">
        <f>+F47+F49</f>
        <v>0</v>
      </c>
      <c r="H50" s="112">
        <f>SUM(H47:H49)</f>
        <v>37.821428571428569</v>
      </c>
      <c r="J50" s="1185"/>
    </row>
    <row r="51" spans="2:10" s="57" customFormat="1" ht="19" x14ac:dyDescent="0.25">
      <c r="B51" s="60"/>
      <c r="C51" s="61"/>
      <c r="D51" s="62" t="s">
        <v>221</v>
      </c>
      <c r="E51" s="107"/>
      <c r="F51" s="60"/>
      <c r="G51" s="60"/>
      <c r="H51" s="347">
        <f>-E51</f>
        <v>0</v>
      </c>
      <c r="I51" s="60"/>
      <c r="J51" s="1185"/>
    </row>
    <row r="52" spans="2:10" s="60" customFormat="1" ht="20" thickBot="1" x14ac:dyDescent="0.3">
      <c r="C52" s="57"/>
      <c r="D52" s="63" t="s">
        <v>222</v>
      </c>
      <c r="E52" s="108">
        <f>SUM(E50:E51)</f>
        <v>42.75</v>
      </c>
      <c r="F52" s="57">
        <f>SUM(F50:F51)</f>
        <v>0</v>
      </c>
      <c r="G52" s="63"/>
      <c r="H52" s="114">
        <f>SUM(H50:H51)</f>
        <v>37.821428571428569</v>
      </c>
      <c r="I52" s="64"/>
      <c r="J52" s="1185"/>
    </row>
    <row r="53" spans="2:10" s="57" customFormat="1" ht="19" x14ac:dyDescent="0.25">
      <c r="B53"/>
      <c r="D53" s="201" t="s">
        <v>278</v>
      </c>
      <c r="E53" s="202">
        <v>27</v>
      </c>
      <c r="F53" s="383" t="s">
        <v>224</v>
      </c>
      <c r="G53" s="204"/>
      <c r="H53" s="115"/>
      <c r="I53" s="66"/>
      <c r="J53" s="1185"/>
    </row>
    <row r="54" spans="2:10" s="57" customFormat="1" ht="19" x14ac:dyDescent="0.25">
      <c r="D54" s="71" t="s">
        <v>225</v>
      </c>
      <c r="E54" s="109">
        <f>E53-E52</f>
        <v>-15.75</v>
      </c>
      <c r="F54" s="203"/>
      <c r="G54" s="65"/>
      <c r="H54" s="116">
        <f>H53-H52</f>
        <v>-37.821428571428569</v>
      </c>
      <c r="I54" s="66"/>
      <c r="J54" s="1185"/>
    </row>
    <row r="55" spans="2:10" s="57" customFormat="1" ht="19" x14ac:dyDescent="0.25">
      <c r="D55" s="66" t="s">
        <v>226</v>
      </c>
      <c r="E55" s="105">
        <f>IFERROR(($D$5*5)/(E52/3),0)</f>
        <v>7.6263157894736837</v>
      </c>
      <c r="F55" s="105">
        <f>(F52*15)/(D5)</f>
        <v>0</v>
      </c>
      <c r="H55" s="117">
        <f>IFERROR(5*$D$8/(H52/3),0)</f>
        <v>7.7991501416430591</v>
      </c>
      <c r="J55" s="1185"/>
    </row>
    <row r="56" spans="2:10" s="57" customFormat="1" ht="20" thickBot="1" x14ac:dyDescent="0.3">
      <c r="C56"/>
      <c r="D56"/>
      <c r="E56"/>
      <c r="F56"/>
      <c r="G56"/>
      <c r="H56"/>
      <c r="I56"/>
      <c r="J56" s="1186"/>
    </row>
    <row r="57" spans="2:10" x14ac:dyDescent="0.2">
      <c r="D57" t="s">
        <v>227</v>
      </c>
      <c r="E57" s="152">
        <f>+$E$49+$E$48+$H$48+$H$49+$D$44+$E$44+$F$44+$G$44+$H$44+$I$44</f>
        <v>17.571428571428577</v>
      </c>
      <c r="F57" s="11" t="s">
        <v>228</v>
      </c>
    </row>
    <row r="58" spans="2:10" x14ac:dyDescent="0.2">
      <c r="E58" s="952">
        <f>E57*2507</f>
        <v>44051.571428571442</v>
      </c>
    </row>
  </sheetData>
  <sheetProtection algorithmName="SHA-512" hashValue="18XZ7WoT4l5eDbd3ke6KC3ADA6l3Ab4L0WRMDM3p0Rv7ZaeFnxW7p7PpdosF6/upqDlGcY2AWQyF1l+q70nV2Q==" saltValue="itwCzQlRuJvRF3raXenwag==" spinCount="100000" sheet="1" objects="1" scenarios="1"/>
  <mergeCells count="6">
    <mergeCell ref="J47:J56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2B48C2-259D-4997-807D-38EA0DB65F59}">
          <x14:formula1>
            <xm:f>'Data Elements'!$F$3:$F$31</xm:f>
          </x14:formula1>
          <xm:sqref>D2</xm:sqref>
        </x14:dataValidation>
        <x14:dataValidation type="list" allowBlank="1" showInputMessage="1" showErrorMessage="1" xr:uid="{9B2C52D3-90AA-4183-BCEB-168C6AA426BF}">
          <x14:formula1>
            <xm:f>'Data Elements'!$A$3:$A$101</xm:f>
          </x14:formula1>
          <xm:sqref>C36</xm:sqref>
        </x14:dataValidation>
        <x14:dataValidation type="list" allowBlank="1" showInputMessage="1" showErrorMessage="1" xr:uid="{19CA292B-64AB-4A4D-B573-D9991AC77EB5}">
          <x14:formula1>
            <xm:f>'Data Elements'!$A$3:$A$179</xm:f>
          </x14:formula1>
          <xm:sqref>C40:C43 C22:C35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B18E-0176-4970-8A0E-3D6505FCC3F4}">
  <sheetPr>
    <tabColor rgb="FF000000"/>
  </sheetPr>
  <dimension ref="A1:M96"/>
  <sheetViews>
    <sheetView topLeftCell="C46" workbookViewId="0">
      <selection activeCell="H50" sqref="H50"/>
    </sheetView>
    <sheetView topLeftCell="A46" workbookViewId="1">
      <selection activeCell="C69" sqref="C69"/>
    </sheetView>
  </sheetViews>
  <sheetFormatPr baseColWidth="10" defaultColWidth="10.6640625" defaultRowHeight="16" x14ac:dyDescent="0.2"/>
  <cols>
    <col min="1" max="1" width="1" customWidth="1"/>
    <col min="2" max="2" width="22.6640625" bestFit="1" customWidth="1"/>
    <col min="3" max="3" width="30.6640625" customWidth="1"/>
    <col min="4" max="4" width="23.6640625" customWidth="1"/>
    <col min="5" max="5" width="20.1640625" customWidth="1"/>
    <col min="6" max="6" width="17.1640625" customWidth="1"/>
    <col min="7" max="7" width="23.33203125" customWidth="1"/>
    <col min="8" max="9" width="22.6640625" customWidth="1"/>
    <col min="10" max="10" width="54.1640625" customWidth="1"/>
    <col min="11" max="11" width="61.83203125" bestFit="1" customWidth="1"/>
  </cols>
  <sheetData>
    <row r="1" spans="1:10" s="7" customFormat="1" ht="22" thickBot="1" x14ac:dyDescent="0.3">
      <c r="A1" s="7" t="s">
        <v>179</v>
      </c>
      <c r="H1" t="s">
        <v>180</v>
      </c>
      <c r="I1" s="886">
        <v>0</v>
      </c>
    </row>
    <row r="2" spans="1:10" s="9" customFormat="1" ht="25" thickBot="1" x14ac:dyDescent="0.35">
      <c r="A2" s="1176" t="s">
        <v>181</v>
      </c>
      <c r="B2" s="1176"/>
      <c r="C2" s="1176"/>
      <c r="D2" s="8" t="s">
        <v>54</v>
      </c>
    </row>
    <row r="3" spans="1:10" ht="6" customHeight="1" thickBot="1" x14ac:dyDescent="0.25"/>
    <row r="4" spans="1:10" x14ac:dyDescent="0.2">
      <c r="B4" s="1177" t="s">
        <v>182</v>
      </c>
      <c r="C4" s="10" t="s">
        <v>183</v>
      </c>
      <c r="D4" s="173">
        <v>4</v>
      </c>
      <c r="E4" s="155" t="s">
        <v>184</v>
      </c>
    </row>
    <row r="5" spans="1:10" x14ac:dyDescent="0.2">
      <c r="B5" s="1178"/>
      <c r="C5" s="12" t="s">
        <v>185</v>
      </c>
      <c r="D5" s="13">
        <f>VLOOKUP($D$2,Overview!$A$4:$AC$31,20,0)</f>
        <v>156.97499999999999</v>
      </c>
      <c r="E5" s="11"/>
    </row>
    <row r="6" spans="1:10" ht="17" thickBot="1" x14ac:dyDescent="0.25">
      <c r="B6" s="1179"/>
      <c r="C6" s="14" t="s">
        <v>9</v>
      </c>
      <c r="D6" s="15">
        <f>VLOOKUP($D$2,Overview!$A$4:$AC$31,18,0)</f>
        <v>10.259803921568627</v>
      </c>
    </row>
    <row r="7" spans="1:10" x14ac:dyDescent="0.2">
      <c r="B7" s="1180" t="s">
        <v>186</v>
      </c>
      <c r="C7" s="16" t="s">
        <v>187</v>
      </c>
      <c r="D7" s="173">
        <v>4</v>
      </c>
      <c r="E7" s="155" t="s">
        <v>184</v>
      </c>
    </row>
    <row r="8" spans="1:10" x14ac:dyDescent="0.2">
      <c r="B8" s="1181"/>
      <c r="C8" s="17" t="s">
        <v>188</v>
      </c>
      <c r="D8" s="18">
        <f>VLOOKUP($D$2,Overview!$A$4:$AC$31,28,0)</f>
        <v>142.02500000000001</v>
      </c>
    </row>
    <row r="9" spans="1:10" ht="17" thickBot="1" x14ac:dyDescent="0.25">
      <c r="B9" s="1182"/>
      <c r="C9" s="19" t="s">
        <v>10</v>
      </c>
      <c r="D9" s="20">
        <f>VLOOKUP($D$2,Overview!$A$4:$AC$31,26,0)</f>
        <v>9.2826797385620914</v>
      </c>
    </row>
    <row r="10" spans="1:10" x14ac:dyDescent="0.2">
      <c r="B10" s="151"/>
      <c r="C10" s="70"/>
      <c r="D10" s="152"/>
    </row>
    <row r="11" spans="1:10" x14ac:dyDescent="0.2">
      <c r="C11" s="151"/>
      <c r="D11" s="152"/>
    </row>
    <row r="12" spans="1:10" x14ac:dyDescent="0.2">
      <c r="C12" s="151"/>
      <c r="D12" s="152"/>
    </row>
    <row r="13" spans="1:10" ht="18.5" customHeight="1" x14ac:dyDescent="0.2"/>
    <row r="14" spans="1:10" ht="18.5" customHeight="1" thickBot="1" x14ac:dyDescent="0.25">
      <c r="C14" s="154"/>
    </row>
    <row r="15" spans="1:10" ht="19" x14ac:dyDescent="0.25">
      <c r="B15" s="21" t="s">
        <v>189</v>
      </c>
      <c r="C15" s="22"/>
      <c r="D15" s="22"/>
      <c r="E15" s="22"/>
      <c r="F15" s="22"/>
      <c r="G15" s="22"/>
      <c r="H15" s="22"/>
      <c r="I15" s="22"/>
      <c r="J15" s="23"/>
    </row>
    <row r="16" spans="1:10" ht="19" x14ac:dyDescent="0.25">
      <c r="B16" s="24"/>
      <c r="C16" s="155" t="s">
        <v>190</v>
      </c>
      <c r="J16" s="25"/>
    </row>
    <row r="17" spans="2:11" ht="16.25" customHeight="1" x14ac:dyDescent="0.2">
      <c r="B17" s="156"/>
      <c r="C17" s="155" t="s">
        <v>191</v>
      </c>
      <c r="J17" s="25"/>
    </row>
    <row r="18" spans="2:11" ht="16.25" customHeight="1" x14ac:dyDescent="0.2">
      <c r="B18" s="156"/>
      <c r="C18" s="155" t="s">
        <v>192</v>
      </c>
      <c r="J18" s="25"/>
    </row>
    <row r="19" spans="2:11" s="1" customFormat="1" ht="15.75" customHeight="1" x14ac:dyDescent="0.25">
      <c r="B19" s="26"/>
      <c r="C19" s="741" t="s">
        <v>59</v>
      </c>
      <c r="D19" s="1187" t="s">
        <v>193</v>
      </c>
      <c r="E19" s="1187"/>
      <c r="F19" s="1187"/>
      <c r="G19" s="1188" t="s">
        <v>194</v>
      </c>
      <c r="H19" s="1188"/>
      <c r="I19" s="1188"/>
      <c r="J19" s="743" t="s">
        <v>59</v>
      </c>
    </row>
    <row r="20" spans="2:11" s="1" customFormat="1" ht="19" x14ac:dyDescent="0.25">
      <c r="B20" s="29"/>
      <c r="C20" s="744" t="s">
        <v>387</v>
      </c>
      <c r="D20" s="745" t="s">
        <v>196</v>
      </c>
      <c r="E20" s="745" t="s">
        <v>43</v>
      </c>
      <c r="F20" s="745" t="s">
        <v>197</v>
      </c>
      <c r="G20" s="746" t="s">
        <v>196</v>
      </c>
      <c r="H20" s="746" t="s">
        <v>198</v>
      </c>
      <c r="I20" s="746" t="s">
        <v>197</v>
      </c>
      <c r="J20" s="747" t="s">
        <v>199</v>
      </c>
      <c r="K20" s="742" t="s">
        <v>388</v>
      </c>
    </row>
    <row r="21" spans="2:11" x14ac:dyDescent="0.2">
      <c r="B21" s="34">
        <v>1</v>
      </c>
      <c r="C21" s="748" t="s">
        <v>389</v>
      </c>
      <c r="D21" s="749"/>
      <c r="E21" s="360"/>
      <c r="F21" s="360"/>
      <c r="G21" s="750"/>
      <c r="H21" s="751"/>
      <c r="I21" s="750"/>
      <c r="J21" s="752"/>
      <c r="K21" s="753"/>
    </row>
    <row r="22" spans="2:11" x14ac:dyDescent="0.2">
      <c r="B22" s="36">
        <v>2</v>
      </c>
      <c r="C22" s="754" t="s">
        <v>390</v>
      </c>
      <c r="D22" s="749"/>
      <c r="E22" s="360">
        <v>7</v>
      </c>
      <c r="F22" s="360"/>
      <c r="G22" s="750"/>
      <c r="H22" s="755">
        <v>5</v>
      </c>
      <c r="I22" s="751"/>
      <c r="J22" s="756" t="s">
        <v>391</v>
      </c>
      <c r="K22" s="751" t="s">
        <v>392</v>
      </c>
    </row>
    <row r="23" spans="2:11" x14ac:dyDescent="0.2">
      <c r="B23" s="36">
        <v>3</v>
      </c>
      <c r="C23" s="754" t="s">
        <v>393</v>
      </c>
      <c r="D23" s="749"/>
      <c r="E23" s="360">
        <v>1</v>
      </c>
      <c r="F23" s="360">
        <v>1</v>
      </c>
      <c r="G23" s="750">
        <v>1</v>
      </c>
      <c r="H23" s="755"/>
      <c r="I23" s="755">
        <v>5</v>
      </c>
      <c r="J23" s="752" t="s">
        <v>394</v>
      </c>
      <c r="K23" s="751" t="s">
        <v>395</v>
      </c>
    </row>
    <row r="24" spans="2:11" x14ac:dyDescent="0.2">
      <c r="B24" s="36">
        <v>4</v>
      </c>
      <c r="C24" s="754" t="s">
        <v>396</v>
      </c>
      <c r="D24" s="749"/>
      <c r="E24" s="360"/>
      <c r="F24" s="360">
        <v>1</v>
      </c>
      <c r="G24" s="750"/>
      <c r="H24" s="755"/>
      <c r="I24" s="755">
        <v>1</v>
      </c>
      <c r="J24" s="752" t="s">
        <v>397</v>
      </c>
      <c r="K24" s="751" t="s">
        <v>398</v>
      </c>
    </row>
    <row r="25" spans="2:11" x14ac:dyDescent="0.2">
      <c r="B25" s="36">
        <v>5</v>
      </c>
      <c r="C25" s="754" t="s">
        <v>344</v>
      </c>
      <c r="D25" s="749"/>
      <c r="E25" s="360"/>
      <c r="F25" s="360"/>
      <c r="G25" s="750"/>
      <c r="H25" s="755"/>
      <c r="I25" s="755"/>
      <c r="J25" s="287"/>
      <c r="K25" s="753"/>
    </row>
    <row r="26" spans="2:11" x14ac:dyDescent="0.2">
      <c r="B26" s="36">
        <v>6</v>
      </c>
      <c r="C26" s="37" t="s">
        <v>344</v>
      </c>
      <c r="D26" s="121"/>
      <c r="E26" s="121"/>
      <c r="F26" s="121"/>
      <c r="G26" s="122"/>
      <c r="H26" s="122"/>
      <c r="I26" s="122"/>
      <c r="J26" s="38"/>
      <c r="K26" s="753"/>
    </row>
    <row r="27" spans="2:11" x14ac:dyDescent="0.2">
      <c r="B27" s="36">
        <v>7</v>
      </c>
      <c r="C27" s="37"/>
      <c r="D27" s="121"/>
      <c r="E27" s="121"/>
      <c r="F27" s="121"/>
      <c r="G27" s="122"/>
      <c r="H27" s="122"/>
      <c r="I27" s="122"/>
      <c r="J27" s="38"/>
      <c r="K27" s="753"/>
    </row>
    <row r="28" spans="2:11" x14ac:dyDescent="0.2">
      <c r="B28" s="36">
        <v>8</v>
      </c>
      <c r="C28" s="37"/>
      <c r="D28" s="121"/>
      <c r="E28" s="121"/>
      <c r="F28" s="121"/>
      <c r="G28" s="122"/>
      <c r="H28" s="122"/>
      <c r="I28" s="122"/>
      <c r="J28" s="38"/>
      <c r="K28" s="753"/>
    </row>
    <row r="29" spans="2:11" x14ac:dyDescent="0.2">
      <c r="B29" s="36">
        <v>9</v>
      </c>
      <c r="C29" s="37"/>
      <c r="D29" s="121"/>
      <c r="E29" s="121"/>
      <c r="F29" s="121"/>
      <c r="G29" s="122"/>
      <c r="H29" s="122"/>
      <c r="I29" s="122"/>
      <c r="J29" s="38"/>
      <c r="K29" s="753"/>
    </row>
    <row r="30" spans="2:11" x14ac:dyDescent="0.2">
      <c r="B30" s="36">
        <v>10</v>
      </c>
      <c r="C30" s="37"/>
      <c r="D30" s="121"/>
      <c r="E30" s="121"/>
      <c r="F30" s="121"/>
      <c r="G30" s="122"/>
      <c r="H30" s="122"/>
      <c r="I30" s="122"/>
      <c r="J30" s="38"/>
      <c r="K30" s="753"/>
    </row>
    <row r="31" spans="2:11" x14ac:dyDescent="0.2">
      <c r="B31" s="36">
        <v>11</v>
      </c>
      <c r="C31" s="37"/>
      <c r="D31" s="121"/>
      <c r="E31" s="121"/>
      <c r="F31" s="121"/>
      <c r="G31" s="122"/>
      <c r="H31" s="122"/>
      <c r="I31" s="122"/>
      <c r="J31" s="38"/>
      <c r="K31" s="753"/>
    </row>
    <row r="32" spans="2:11" x14ac:dyDescent="0.2">
      <c r="B32" s="36">
        <v>12</v>
      </c>
      <c r="C32" s="37"/>
      <c r="D32" s="121"/>
      <c r="E32" s="121"/>
      <c r="F32" s="121"/>
      <c r="G32" s="122"/>
      <c r="H32" s="122"/>
      <c r="I32" s="122"/>
      <c r="J32" s="38"/>
      <c r="K32" s="753"/>
    </row>
    <row r="33" spans="2:11" x14ac:dyDescent="0.2">
      <c r="B33" s="36">
        <v>13</v>
      </c>
      <c r="C33" s="37"/>
      <c r="D33" s="121"/>
      <c r="E33" s="121"/>
      <c r="F33" s="121"/>
      <c r="G33" s="122"/>
      <c r="H33" s="122"/>
      <c r="I33" s="122"/>
      <c r="J33" s="38"/>
      <c r="K33" s="753"/>
    </row>
    <row r="34" spans="2:11" x14ac:dyDescent="0.2">
      <c r="B34" s="36">
        <v>14</v>
      </c>
      <c r="C34" s="37"/>
      <c r="D34" s="121"/>
      <c r="E34" s="121"/>
      <c r="F34" s="121"/>
      <c r="G34" s="122"/>
      <c r="H34" s="122"/>
      <c r="I34" s="122"/>
      <c r="J34" s="38"/>
      <c r="K34" s="753"/>
    </row>
    <row r="35" spans="2:11" x14ac:dyDescent="0.2">
      <c r="B35" s="36">
        <v>15</v>
      </c>
      <c r="C35" s="37"/>
      <c r="D35" s="121"/>
      <c r="E35" s="121"/>
      <c r="F35" s="121"/>
      <c r="G35" s="122"/>
      <c r="H35" s="122"/>
      <c r="I35" s="122"/>
      <c r="J35" s="38"/>
      <c r="K35" s="753"/>
    </row>
    <row r="36" spans="2:11" ht="17" thickBot="1" x14ac:dyDescent="0.25">
      <c r="B36" s="39">
        <v>16</v>
      </c>
      <c r="C36" s="40"/>
      <c r="D36" s="123"/>
      <c r="E36" s="123"/>
      <c r="F36" s="123"/>
      <c r="G36" s="124"/>
      <c r="H36" s="124"/>
      <c r="I36" s="124"/>
      <c r="J36" s="41"/>
    </row>
    <row r="37" spans="2:11" s="11" customFormat="1" ht="21" thickTop="1" thickBot="1" x14ac:dyDescent="0.3">
      <c r="B37" s="42"/>
      <c r="C37" s="43" t="s">
        <v>209</v>
      </c>
      <c r="D37" s="128">
        <f t="shared" ref="D37:I37" si="0">SUM(D21:D36)</f>
        <v>0</v>
      </c>
      <c r="E37" s="128">
        <f t="shared" si="0"/>
        <v>8</v>
      </c>
      <c r="F37" s="128">
        <f t="shared" si="0"/>
        <v>2</v>
      </c>
      <c r="G37" s="129">
        <f t="shared" si="0"/>
        <v>1</v>
      </c>
      <c r="H37" s="129">
        <f t="shared" si="0"/>
        <v>5</v>
      </c>
      <c r="I37" s="129">
        <f t="shared" si="0"/>
        <v>6</v>
      </c>
      <c r="J37" s="44"/>
    </row>
    <row r="38" spans="2:11" s="11" customFormat="1" ht="6" customHeight="1" x14ac:dyDescent="0.25">
      <c r="B38" s="45"/>
      <c r="C38" s="46"/>
      <c r="D38" s="125"/>
      <c r="E38" s="125"/>
      <c r="F38" s="125"/>
      <c r="G38" s="125"/>
      <c r="H38" s="125"/>
      <c r="I38" s="125"/>
      <c r="J38" s="47"/>
    </row>
    <row r="39" spans="2:11" s="1" customFormat="1" ht="19" x14ac:dyDescent="0.25">
      <c r="B39" s="48"/>
      <c r="C39" s="296" t="s">
        <v>399</v>
      </c>
      <c r="D39" s="757" t="s">
        <v>196</v>
      </c>
      <c r="E39" s="757" t="s">
        <v>43</v>
      </c>
      <c r="F39" s="757" t="s">
        <v>197</v>
      </c>
      <c r="G39" s="758" t="s">
        <v>196</v>
      </c>
      <c r="H39" s="758" t="s">
        <v>198</v>
      </c>
      <c r="I39" s="758" t="s">
        <v>197</v>
      </c>
      <c r="J39" s="759" t="s">
        <v>199</v>
      </c>
      <c r="K39" s="742" t="s">
        <v>388</v>
      </c>
    </row>
    <row r="40" spans="2:11" ht="16.25" customHeight="1" x14ac:dyDescent="0.2">
      <c r="B40" s="36">
        <v>1</v>
      </c>
      <c r="C40" s="293" t="s">
        <v>400</v>
      </c>
      <c r="D40" s="361"/>
      <c r="E40" s="361"/>
      <c r="F40" s="361"/>
      <c r="G40" s="362"/>
      <c r="H40" s="362"/>
      <c r="I40" s="362"/>
      <c r="J40" s="760"/>
      <c r="K40" s="753"/>
    </row>
    <row r="41" spans="2:11" ht="16.25" customHeight="1" x14ac:dyDescent="0.2">
      <c r="B41" s="36">
        <v>2</v>
      </c>
      <c r="C41" s="363" t="s">
        <v>401</v>
      </c>
      <c r="D41" s="360"/>
      <c r="E41" s="360"/>
      <c r="F41" s="360"/>
      <c r="G41" s="364"/>
      <c r="H41" s="364"/>
      <c r="I41" s="364"/>
      <c r="J41" s="365"/>
      <c r="K41" s="753"/>
    </row>
    <row r="42" spans="2:11" ht="16.25" customHeight="1" x14ac:dyDescent="0.2">
      <c r="B42" s="36">
        <v>3</v>
      </c>
      <c r="C42" s="363" t="s">
        <v>402</v>
      </c>
      <c r="D42" s="360"/>
      <c r="E42" s="360"/>
      <c r="F42" s="360"/>
      <c r="G42" s="364"/>
      <c r="H42" s="364"/>
      <c r="I42" s="364"/>
      <c r="J42" s="365"/>
      <c r="K42" s="753"/>
    </row>
    <row r="43" spans="2:11" ht="16.25" customHeight="1" x14ac:dyDescent="0.2">
      <c r="B43" s="36">
        <v>4</v>
      </c>
      <c r="C43" s="761" t="s">
        <v>403</v>
      </c>
      <c r="D43" s="762"/>
      <c r="E43" s="762"/>
      <c r="F43" s="762"/>
      <c r="G43" s="763"/>
      <c r="H43" s="763"/>
      <c r="I43" s="763"/>
      <c r="J43" s="365"/>
      <c r="K43" s="753"/>
    </row>
    <row r="44" spans="2:11" ht="16.25" customHeight="1" x14ac:dyDescent="0.2">
      <c r="B44" s="36">
        <v>5</v>
      </c>
      <c r="C44" s="293" t="s">
        <v>404</v>
      </c>
      <c r="D44" s="361"/>
      <c r="E44" s="361"/>
      <c r="F44" s="361"/>
      <c r="G44" s="362"/>
      <c r="H44" s="362"/>
      <c r="I44" s="362"/>
      <c r="J44" s="365"/>
      <c r="K44" s="753"/>
    </row>
    <row r="45" spans="2:11" ht="16.25" customHeight="1" x14ac:dyDescent="0.2">
      <c r="B45" s="36">
        <v>6</v>
      </c>
      <c r="C45" s="363" t="s">
        <v>405</v>
      </c>
      <c r="D45" s="360"/>
      <c r="E45" s="360"/>
      <c r="F45" s="360" t="s">
        <v>406</v>
      </c>
      <c r="G45" s="364"/>
      <c r="H45" s="364"/>
      <c r="I45" s="364"/>
      <c r="J45" s="752" t="s">
        <v>407</v>
      </c>
      <c r="K45" s="753"/>
    </row>
    <row r="46" spans="2:11" ht="16.25" customHeight="1" x14ac:dyDescent="0.2">
      <c r="B46" s="36">
        <v>7</v>
      </c>
      <c r="C46" s="363" t="s">
        <v>408</v>
      </c>
      <c r="D46" s="360"/>
      <c r="E46" s="360"/>
      <c r="F46" s="360"/>
      <c r="G46" s="364"/>
      <c r="H46" s="364"/>
      <c r="I46" s="364"/>
      <c r="J46" s="366"/>
      <c r="K46" s="753"/>
    </row>
    <row r="47" spans="2:11" ht="16.25" customHeight="1" x14ac:dyDescent="0.2">
      <c r="B47" s="36">
        <v>8</v>
      </c>
      <c r="C47" s="363" t="s">
        <v>409</v>
      </c>
      <c r="D47" s="360"/>
      <c r="E47" s="360"/>
      <c r="F47" s="360"/>
      <c r="G47" s="364"/>
      <c r="H47" s="364"/>
      <c r="I47" s="364"/>
      <c r="J47" s="366"/>
      <c r="K47" s="753"/>
    </row>
    <row r="48" spans="2:11" ht="16.25" customHeight="1" x14ac:dyDescent="0.2">
      <c r="B48" s="36">
        <v>9</v>
      </c>
      <c r="C48" s="363" t="s">
        <v>410</v>
      </c>
      <c r="D48" s="360"/>
      <c r="E48" s="360"/>
      <c r="F48" s="360"/>
      <c r="G48" s="364"/>
      <c r="H48" s="364"/>
      <c r="I48" s="364"/>
      <c r="J48" s="366"/>
      <c r="K48" s="753"/>
    </row>
    <row r="49" spans="2:11" ht="16.25" customHeight="1" x14ac:dyDescent="0.2">
      <c r="B49" s="36">
        <v>10</v>
      </c>
      <c r="C49" s="363" t="s">
        <v>411</v>
      </c>
      <c r="D49" s="360"/>
      <c r="E49" s="360"/>
      <c r="F49" s="360"/>
      <c r="G49" s="364"/>
      <c r="H49" s="364"/>
      <c r="I49" s="364"/>
      <c r="J49" s="366"/>
      <c r="K49" s="753"/>
    </row>
    <row r="50" spans="2:11" ht="16.25" customHeight="1" x14ac:dyDescent="0.2">
      <c r="B50" s="36">
        <v>11</v>
      </c>
      <c r="C50" s="363" t="s">
        <v>412</v>
      </c>
      <c r="D50" s="360"/>
      <c r="E50" s="360"/>
      <c r="F50" s="360"/>
      <c r="G50" s="364"/>
      <c r="H50" s="364"/>
      <c r="I50" s="364"/>
      <c r="J50" s="366"/>
      <c r="K50" s="753"/>
    </row>
    <row r="51" spans="2:11" ht="16.25" customHeight="1" x14ac:dyDescent="0.2">
      <c r="B51" s="36">
        <v>12</v>
      </c>
      <c r="C51" s="363" t="s">
        <v>413</v>
      </c>
      <c r="D51" s="360"/>
      <c r="E51" s="360"/>
      <c r="F51" s="360"/>
      <c r="G51" s="364"/>
      <c r="H51" s="364"/>
      <c r="I51" s="364"/>
      <c r="J51" s="756"/>
      <c r="K51" s="753"/>
    </row>
    <row r="52" spans="2:11" ht="16.25" customHeight="1" x14ac:dyDescent="0.2">
      <c r="B52" s="36">
        <v>13</v>
      </c>
      <c r="C52" s="363" t="s">
        <v>414</v>
      </c>
      <c r="D52" s="360"/>
      <c r="E52" s="360"/>
      <c r="F52" s="360"/>
      <c r="G52" s="364"/>
      <c r="H52" s="364"/>
      <c r="I52" s="364"/>
      <c r="J52" s="366"/>
      <c r="K52" s="753"/>
    </row>
    <row r="53" spans="2:11" ht="16.25" customHeight="1" x14ac:dyDescent="0.2">
      <c r="B53" s="36">
        <v>14</v>
      </c>
      <c r="C53" s="363" t="s">
        <v>415</v>
      </c>
      <c r="D53" s="360"/>
      <c r="E53" s="360"/>
      <c r="F53" s="360"/>
      <c r="G53" s="364"/>
      <c r="H53" s="364"/>
      <c r="I53" s="364"/>
      <c r="J53" s="366"/>
      <c r="K53" s="753"/>
    </row>
    <row r="54" spans="2:11" ht="16.25" customHeight="1" x14ac:dyDescent="0.2">
      <c r="B54" s="36">
        <v>15</v>
      </c>
      <c r="C54" s="363" t="s">
        <v>416</v>
      </c>
      <c r="D54" s="360"/>
      <c r="E54" s="360"/>
      <c r="F54" s="360"/>
      <c r="G54" s="364"/>
      <c r="H54" s="364"/>
      <c r="I54" s="364"/>
      <c r="J54" s="756"/>
      <c r="K54" s="753"/>
    </row>
    <row r="55" spans="2:11" x14ac:dyDescent="0.2">
      <c r="B55" s="36">
        <v>16</v>
      </c>
      <c r="C55" s="363" t="s">
        <v>417</v>
      </c>
      <c r="D55" s="360" t="s">
        <v>59</v>
      </c>
      <c r="E55" s="360" t="s">
        <v>59</v>
      </c>
      <c r="F55" s="360" t="s">
        <v>59</v>
      </c>
      <c r="G55" s="364" t="s">
        <v>59</v>
      </c>
      <c r="H55" s="364" t="s">
        <v>59</v>
      </c>
      <c r="I55" s="364" t="s">
        <v>59</v>
      </c>
      <c r="J55" s="366" t="s">
        <v>59</v>
      </c>
      <c r="K55" s="753"/>
    </row>
    <row r="56" spans="2:11" x14ac:dyDescent="0.2">
      <c r="B56" s="36">
        <v>17</v>
      </c>
      <c r="C56" s="363" t="s">
        <v>418</v>
      </c>
      <c r="D56" s="360" t="s">
        <v>59</v>
      </c>
      <c r="E56" s="360" t="s">
        <v>59</v>
      </c>
      <c r="F56" s="360" t="s">
        <v>59</v>
      </c>
      <c r="G56" s="364" t="s">
        <v>59</v>
      </c>
      <c r="H56" s="364" t="s">
        <v>59</v>
      </c>
      <c r="I56" s="364" t="s">
        <v>59</v>
      </c>
      <c r="J56" s="366" t="s">
        <v>59</v>
      </c>
      <c r="K56" s="753"/>
    </row>
    <row r="57" spans="2:11" x14ac:dyDescent="0.2">
      <c r="B57" s="36">
        <v>18</v>
      </c>
      <c r="C57" s="384" t="s">
        <v>59</v>
      </c>
      <c r="D57" s="385" t="s">
        <v>59</v>
      </c>
      <c r="E57" s="385"/>
      <c r="F57" s="385"/>
      <c r="G57" s="386"/>
      <c r="H57" s="386"/>
      <c r="I57" s="386"/>
      <c r="J57" s="366" t="s">
        <v>59</v>
      </c>
    </row>
    <row r="58" spans="2:11" s="11" customFormat="1" ht="19" x14ac:dyDescent="0.25">
      <c r="B58" s="42"/>
      <c r="C58" s="43" t="s">
        <v>214</v>
      </c>
      <c r="D58" s="128">
        <f>SUM(D40:D57)</f>
        <v>0</v>
      </c>
      <c r="E58" s="128">
        <f t="shared" ref="E58:F58" si="1">SUM(E40:E57)</f>
        <v>0</v>
      </c>
      <c r="F58" s="128">
        <f t="shared" si="1"/>
        <v>0</v>
      </c>
      <c r="G58" s="129">
        <f>SUM(G40:G57)</f>
        <v>0</v>
      </c>
      <c r="H58" s="129">
        <f t="shared" ref="H58:I58" si="2">SUM(H40:H57)</f>
        <v>0</v>
      </c>
      <c r="I58" s="129">
        <f t="shared" si="2"/>
        <v>0</v>
      </c>
      <c r="J58" s="53">
        <f>SUM(D58:I58)</f>
        <v>0</v>
      </c>
    </row>
    <row r="59" spans="2:11" ht="6" customHeight="1" thickBot="1" x14ac:dyDescent="0.25"/>
    <row r="60" spans="2:11" s="54" customFormat="1" ht="19" x14ac:dyDescent="0.25">
      <c r="B60" s="229" t="s">
        <v>215</v>
      </c>
      <c r="D60" s="72"/>
      <c r="E60" s="72" t="s">
        <v>182</v>
      </c>
      <c r="F60" s="72"/>
      <c r="G60" s="55"/>
      <c r="H60" s="55" t="s">
        <v>186</v>
      </c>
      <c r="I60" s="55"/>
      <c r="J60" s="56" t="s">
        <v>216</v>
      </c>
    </row>
    <row r="61" spans="2:11" s="57" customFormat="1" ht="19" x14ac:dyDescent="0.25">
      <c r="B61" s="231">
        <f t="shared" ref="B61:B63" si="3">SUM(E61:H61)</f>
        <v>74</v>
      </c>
      <c r="D61" s="58" t="s">
        <v>217</v>
      </c>
      <c r="E61" s="224">
        <f>($D$4*12)-$E$37-$F$37-$D$37</f>
        <v>38</v>
      </c>
      <c r="H61" s="111">
        <f>($D$7*12)-$H$37-$I$37-$G$37</f>
        <v>36</v>
      </c>
      <c r="J61" s="1185" t="s">
        <v>419</v>
      </c>
    </row>
    <row r="62" spans="2:11" s="57" customFormat="1" ht="19" x14ac:dyDescent="0.25">
      <c r="B62" s="231">
        <f t="shared" si="3"/>
        <v>21</v>
      </c>
      <c r="C62" s="58"/>
      <c r="D62" s="58" t="s">
        <v>218</v>
      </c>
      <c r="E62" s="224">
        <f>$E$37+$F$37</f>
        <v>10</v>
      </c>
      <c r="H62" s="111">
        <f>$H$37+$I$37</f>
        <v>11</v>
      </c>
      <c r="J62" s="1185"/>
    </row>
    <row r="63" spans="2:11" s="57" customFormat="1" ht="19" x14ac:dyDescent="0.25">
      <c r="B63" s="231">
        <f t="shared" si="3"/>
        <v>173.13725490196077</v>
      </c>
      <c r="C63" s="58"/>
      <c r="D63" s="58" t="s">
        <v>219</v>
      </c>
      <c r="E63" s="224">
        <f>(($D$6-$D$4)*15)-D58</f>
        <v>93.897058823529406</v>
      </c>
      <c r="H63" s="111">
        <f>(($D$9-$D$7)*15)-$G$44</f>
        <v>79.240196078431367</v>
      </c>
      <c r="J63" s="1185"/>
    </row>
    <row r="64" spans="2:11" s="57" customFormat="1" ht="19" x14ac:dyDescent="0.25">
      <c r="B64" s="230">
        <f>SUM(E64:H64)</f>
        <v>268.13725490196077</v>
      </c>
      <c r="C64" s="59"/>
      <c r="D64" s="59" t="s">
        <v>220</v>
      </c>
      <c r="E64" s="106">
        <f>SUM(E61:E63)</f>
        <v>141.89705882352939</v>
      </c>
      <c r="H64" s="112">
        <f>SUM(H61:H63)</f>
        <v>126.24019607843137</v>
      </c>
      <c r="J64" s="1185"/>
    </row>
    <row r="65" spans="2:13" s="60" customFormat="1" ht="19" x14ac:dyDescent="0.25">
      <c r="C65" s="61"/>
      <c r="D65" s="62" t="s">
        <v>221</v>
      </c>
      <c r="E65" s="107"/>
      <c r="H65" s="113">
        <f>-E65</f>
        <v>0</v>
      </c>
      <c r="J65" s="1185"/>
    </row>
    <row r="66" spans="2:13" s="57" customFormat="1" ht="19" x14ac:dyDescent="0.25">
      <c r="D66" s="63" t="s">
        <v>222</v>
      </c>
      <c r="E66" s="108">
        <f>SUM(E64:E65)</f>
        <v>141.89705882352939</v>
      </c>
      <c r="G66" s="63"/>
      <c r="H66" s="114">
        <f>SUM(H64:H65)</f>
        <v>126.24019607843137</v>
      </c>
      <c r="I66" s="64"/>
      <c r="J66" s="1185"/>
    </row>
    <row r="67" spans="2:13" s="57" customFormat="1" ht="19" x14ac:dyDescent="0.25">
      <c r="D67" s="201" t="s">
        <v>278</v>
      </c>
      <c r="E67" s="202">
        <v>135.5</v>
      </c>
      <c r="F67" s="383" t="s">
        <v>224</v>
      </c>
      <c r="G67" s="204"/>
      <c r="H67" s="115"/>
      <c r="I67" s="66"/>
      <c r="J67" s="1185"/>
    </row>
    <row r="68" spans="2:13" s="57" customFormat="1" ht="19" x14ac:dyDescent="0.25">
      <c r="D68" s="71" t="s">
        <v>225</v>
      </c>
      <c r="E68" s="109">
        <f>E67-E66</f>
        <v>-6.3970588235293917</v>
      </c>
      <c r="G68" s="65"/>
      <c r="H68" s="116">
        <f>H67-H66</f>
        <v>-126.24019607843137</v>
      </c>
      <c r="I68" s="66"/>
      <c r="J68" s="1185"/>
    </row>
    <row r="69" spans="2:13" s="57" customFormat="1" ht="19" x14ac:dyDescent="0.25">
      <c r="D69" s="66" t="s">
        <v>226</v>
      </c>
      <c r="E69" s="105">
        <f>IFERROR(($D$5*5)/(E66/3),0)</f>
        <v>16.593895740491245</v>
      </c>
      <c r="H69" s="117">
        <f>IFERROR(5*$D$8/(H66/3),0)</f>
        <v>16.875567895002522</v>
      </c>
      <c r="J69" s="1186"/>
    </row>
    <row r="71" spans="2:13" x14ac:dyDescent="0.2">
      <c r="D71" t="s">
        <v>227</v>
      </c>
      <c r="E71" s="152">
        <f>+E62+E63+H62+H63+D58+E58+F58+G58+H58+I58</f>
        <v>194.13725490196077</v>
      </c>
      <c r="F71" s="11" t="s">
        <v>228</v>
      </c>
    </row>
    <row r="72" spans="2:13" x14ac:dyDescent="0.2">
      <c r="E72" s="952">
        <f>E71*2507</f>
        <v>486702.09803921566</v>
      </c>
    </row>
    <row r="74" spans="2:13" ht="68" x14ac:dyDescent="0.25">
      <c r="B74" s="232" t="s">
        <v>279</v>
      </c>
      <c r="C74" s="458" t="s">
        <v>230</v>
      </c>
      <c r="D74" s="458" t="s">
        <v>280</v>
      </c>
      <c r="E74" s="458" t="s">
        <v>234</v>
      </c>
      <c r="F74" s="458" t="s">
        <v>235</v>
      </c>
      <c r="G74" s="458" t="s">
        <v>236</v>
      </c>
      <c r="H74" s="524" t="s">
        <v>237</v>
      </c>
      <c r="I74" s="458" t="s">
        <v>238</v>
      </c>
      <c r="J74" s="458" t="s">
        <v>281</v>
      </c>
      <c r="K74" s="458" t="s">
        <v>282</v>
      </c>
      <c r="L74" s="458" t="s">
        <v>243</v>
      </c>
      <c r="M74" s="460" t="s">
        <v>244</v>
      </c>
    </row>
    <row r="75" spans="2:13" ht="34" x14ac:dyDescent="0.25">
      <c r="B75">
        <v>1</v>
      </c>
      <c r="C75" s="555" t="s">
        <v>405</v>
      </c>
      <c r="D75" s="556" t="s">
        <v>287</v>
      </c>
      <c r="E75" s="556" t="s">
        <v>368</v>
      </c>
      <c r="F75" s="556" t="s">
        <v>285</v>
      </c>
      <c r="G75" s="557">
        <v>1</v>
      </c>
      <c r="H75" s="557" t="s">
        <v>249</v>
      </c>
      <c r="I75" s="558" t="s">
        <v>420</v>
      </c>
      <c r="J75" s="559">
        <v>30</v>
      </c>
      <c r="K75" s="559"/>
      <c r="L75" s="560"/>
      <c r="M75" s="561" t="s">
        <v>249</v>
      </c>
    </row>
    <row r="76" spans="2:13" ht="17" x14ac:dyDescent="0.25">
      <c r="B76">
        <v>1</v>
      </c>
      <c r="C76" s="555" t="s">
        <v>416</v>
      </c>
      <c r="D76" s="556" t="s">
        <v>246</v>
      </c>
      <c r="E76" s="556" t="s">
        <v>284</v>
      </c>
      <c r="F76" s="556" t="s">
        <v>285</v>
      </c>
      <c r="G76" s="557">
        <v>1</v>
      </c>
      <c r="H76" s="562" t="s">
        <v>421</v>
      </c>
      <c r="I76" s="558"/>
      <c r="J76" s="559">
        <v>30</v>
      </c>
      <c r="K76" s="559"/>
      <c r="L76" s="560"/>
      <c r="M76" s="561" t="s">
        <v>249</v>
      </c>
    </row>
    <row r="77" spans="2:13" ht="34" x14ac:dyDescent="0.25">
      <c r="B77">
        <v>1</v>
      </c>
      <c r="C77" s="555" t="s">
        <v>413</v>
      </c>
      <c r="D77" s="556" t="s">
        <v>246</v>
      </c>
      <c r="E77" s="556" t="s">
        <v>284</v>
      </c>
      <c r="F77" s="556" t="s">
        <v>285</v>
      </c>
      <c r="G77" s="557">
        <v>1</v>
      </c>
      <c r="H77" s="562" t="s">
        <v>249</v>
      </c>
      <c r="I77" s="558" t="s">
        <v>420</v>
      </c>
      <c r="J77" s="559">
        <v>30</v>
      </c>
      <c r="K77" s="559"/>
      <c r="L77" s="560"/>
      <c r="M77" s="561" t="s">
        <v>249</v>
      </c>
    </row>
    <row r="78" spans="2:13" ht="34" x14ac:dyDescent="0.25">
      <c r="B78">
        <v>1</v>
      </c>
      <c r="C78" s="555" t="s">
        <v>401</v>
      </c>
      <c r="D78" s="563" t="s">
        <v>287</v>
      </c>
      <c r="E78" s="564" t="s">
        <v>247</v>
      </c>
      <c r="F78" s="556" t="s">
        <v>285</v>
      </c>
      <c r="G78" s="557">
        <v>1</v>
      </c>
      <c r="H78" s="562" t="s">
        <v>249</v>
      </c>
      <c r="I78" s="561" t="s">
        <v>363</v>
      </c>
      <c r="J78" s="565">
        <v>30</v>
      </c>
      <c r="K78" s="559"/>
      <c r="L78" s="566"/>
      <c r="M78" s="561" t="s">
        <v>249</v>
      </c>
    </row>
    <row r="79" spans="2:13" ht="17" x14ac:dyDescent="0.25">
      <c r="C79" s="525" t="s">
        <v>403</v>
      </c>
      <c r="D79" s="461" t="s">
        <v>246</v>
      </c>
      <c r="E79" s="461" t="s">
        <v>252</v>
      </c>
      <c r="F79" s="461" t="s">
        <v>248</v>
      </c>
      <c r="G79" s="531">
        <v>3</v>
      </c>
      <c r="H79" s="531">
        <v>1</v>
      </c>
      <c r="I79" s="532"/>
      <c r="J79" s="528">
        <v>4</v>
      </c>
      <c r="K79" s="528"/>
      <c r="L79" s="529"/>
      <c r="M79" s="530" t="s">
        <v>249</v>
      </c>
    </row>
    <row r="80" spans="2:13" ht="17" x14ac:dyDescent="0.25">
      <c r="C80" s="525" t="s">
        <v>417</v>
      </c>
      <c r="D80" s="461" t="s">
        <v>287</v>
      </c>
      <c r="E80" s="461" t="s">
        <v>252</v>
      </c>
      <c r="F80" s="461" t="s">
        <v>248</v>
      </c>
      <c r="G80" s="465">
        <v>3</v>
      </c>
      <c r="H80" s="531">
        <v>1</v>
      </c>
      <c r="I80" s="532"/>
      <c r="J80" s="527">
        <v>12</v>
      </c>
      <c r="K80" s="528"/>
      <c r="L80" s="529"/>
      <c r="M80" s="530" t="s">
        <v>249</v>
      </c>
    </row>
    <row r="81" spans="2:13" ht="17" x14ac:dyDescent="0.25">
      <c r="C81" s="525" t="s">
        <v>409</v>
      </c>
      <c r="D81" s="461" t="s">
        <v>287</v>
      </c>
      <c r="E81" s="461" t="s">
        <v>252</v>
      </c>
      <c r="F81" s="461" t="s">
        <v>248</v>
      </c>
      <c r="G81" s="465">
        <v>3</v>
      </c>
      <c r="H81" s="531">
        <v>1</v>
      </c>
      <c r="I81" s="532"/>
      <c r="J81" s="527">
        <v>4</v>
      </c>
      <c r="K81" s="528"/>
      <c r="L81" s="529"/>
      <c r="M81" s="530" t="s">
        <v>249</v>
      </c>
    </row>
    <row r="82" spans="2:13" ht="17" x14ac:dyDescent="0.25">
      <c r="C82" s="525" t="s">
        <v>410</v>
      </c>
      <c r="D82" s="461" t="s">
        <v>287</v>
      </c>
      <c r="E82" s="461" t="s">
        <v>252</v>
      </c>
      <c r="F82" s="461" t="s">
        <v>248</v>
      </c>
      <c r="G82" s="465">
        <v>3</v>
      </c>
      <c r="H82" s="531">
        <v>1</v>
      </c>
      <c r="I82" s="532" t="s">
        <v>422</v>
      </c>
      <c r="J82" s="527">
        <v>12</v>
      </c>
      <c r="K82" s="528"/>
      <c r="L82" s="529"/>
      <c r="M82" s="530" t="s">
        <v>249</v>
      </c>
    </row>
    <row r="83" spans="2:13" ht="34" x14ac:dyDescent="0.25">
      <c r="C83" s="525" t="s">
        <v>404</v>
      </c>
      <c r="D83" s="532" t="s">
        <v>246</v>
      </c>
      <c r="E83" s="461" t="s">
        <v>252</v>
      </c>
      <c r="F83" s="461" t="s">
        <v>248</v>
      </c>
      <c r="G83" s="465">
        <v>3</v>
      </c>
      <c r="H83" s="531">
        <v>1</v>
      </c>
      <c r="I83" s="532"/>
      <c r="J83" s="527">
        <v>12</v>
      </c>
      <c r="K83" s="528"/>
      <c r="L83" s="529"/>
      <c r="M83" s="530" t="s">
        <v>249</v>
      </c>
    </row>
    <row r="84" spans="2:13" ht="34" x14ac:dyDescent="0.25">
      <c r="C84" s="525" t="s">
        <v>414</v>
      </c>
      <c r="D84" s="532" t="s">
        <v>251</v>
      </c>
      <c r="E84" s="461" t="s">
        <v>252</v>
      </c>
      <c r="F84" s="461" t="s">
        <v>248</v>
      </c>
      <c r="G84" s="465">
        <v>3</v>
      </c>
      <c r="H84" s="531">
        <v>1</v>
      </c>
      <c r="I84" s="531"/>
      <c r="J84" s="527">
        <v>8</v>
      </c>
      <c r="K84" s="528"/>
      <c r="L84" s="529"/>
      <c r="M84" s="530" t="s">
        <v>249</v>
      </c>
    </row>
    <row r="85" spans="2:13" ht="34" x14ac:dyDescent="0.25">
      <c r="C85" s="525" t="s">
        <v>411</v>
      </c>
      <c r="D85" s="532" t="s">
        <v>287</v>
      </c>
      <c r="E85" s="533" t="s">
        <v>252</v>
      </c>
      <c r="F85" s="461" t="s">
        <v>248</v>
      </c>
      <c r="G85" s="465">
        <v>3</v>
      </c>
      <c r="H85" s="531">
        <v>1</v>
      </c>
      <c r="I85" s="530" t="s">
        <v>423</v>
      </c>
      <c r="J85" s="527">
        <v>17</v>
      </c>
      <c r="K85" s="528"/>
      <c r="L85" s="529"/>
      <c r="M85" s="530" t="s">
        <v>249</v>
      </c>
    </row>
    <row r="86" spans="2:13" ht="34" x14ac:dyDescent="0.25">
      <c r="C86" s="525" t="s">
        <v>412</v>
      </c>
      <c r="D86" s="532" t="s">
        <v>300</v>
      </c>
      <c r="E86" s="461" t="s">
        <v>252</v>
      </c>
      <c r="F86" s="461" t="s">
        <v>248</v>
      </c>
      <c r="G86" s="461" t="s">
        <v>301</v>
      </c>
      <c r="H86" s="531">
        <v>2</v>
      </c>
      <c r="I86" s="526"/>
      <c r="J86" s="528">
        <v>15</v>
      </c>
      <c r="K86" s="528"/>
      <c r="L86" s="529"/>
      <c r="M86" s="530" t="s">
        <v>424</v>
      </c>
    </row>
    <row r="87" spans="2:13" ht="34" x14ac:dyDescent="0.25">
      <c r="C87" s="525" t="s">
        <v>418</v>
      </c>
      <c r="D87" s="532" t="s">
        <v>300</v>
      </c>
      <c r="E87" s="461" t="s">
        <v>247</v>
      </c>
      <c r="F87" s="461" t="s">
        <v>248</v>
      </c>
      <c r="G87" s="461" t="s">
        <v>301</v>
      </c>
      <c r="H87" s="531">
        <v>2</v>
      </c>
      <c r="I87" s="530" t="s">
        <v>423</v>
      </c>
      <c r="J87" s="528">
        <v>13</v>
      </c>
      <c r="K87" s="528"/>
      <c r="L87" s="529"/>
      <c r="M87" s="530" t="s">
        <v>424</v>
      </c>
    </row>
    <row r="88" spans="2:13" ht="34" x14ac:dyDescent="0.25">
      <c r="C88" s="534" t="s">
        <v>425</v>
      </c>
      <c r="D88" s="535" t="s">
        <v>310</v>
      </c>
      <c r="E88" s="535" t="s">
        <v>247</v>
      </c>
      <c r="F88" s="535" t="s">
        <v>248</v>
      </c>
      <c r="G88" s="535" t="s">
        <v>311</v>
      </c>
      <c r="H88" s="536">
        <v>2</v>
      </c>
      <c r="I88" s="537" t="s">
        <v>426</v>
      </c>
      <c r="J88" s="538">
        <v>0</v>
      </c>
      <c r="K88" s="538"/>
      <c r="L88" s="539"/>
      <c r="M88" s="540" t="s">
        <v>427</v>
      </c>
    </row>
    <row r="89" spans="2:13" ht="34" x14ac:dyDescent="0.25">
      <c r="C89" s="534" t="s">
        <v>400</v>
      </c>
      <c r="D89" s="535" t="s">
        <v>310</v>
      </c>
      <c r="E89" s="535" t="s">
        <v>252</v>
      </c>
      <c r="F89" s="535" t="s">
        <v>248</v>
      </c>
      <c r="G89" s="535" t="s">
        <v>311</v>
      </c>
      <c r="H89" s="536">
        <v>2</v>
      </c>
      <c r="I89" s="537" t="s">
        <v>428</v>
      </c>
      <c r="J89" s="538">
        <v>0</v>
      </c>
      <c r="K89" s="538"/>
      <c r="L89" s="539"/>
      <c r="M89" s="540" t="s">
        <v>427</v>
      </c>
    </row>
    <row r="90" spans="2:13" ht="34" x14ac:dyDescent="0.25">
      <c r="C90" s="534" t="s">
        <v>415</v>
      </c>
      <c r="D90" s="535" t="s">
        <v>310</v>
      </c>
      <c r="E90" s="535" t="s">
        <v>247</v>
      </c>
      <c r="F90" s="535" t="s">
        <v>248</v>
      </c>
      <c r="G90" s="535" t="s">
        <v>311</v>
      </c>
      <c r="H90" s="536">
        <v>2</v>
      </c>
      <c r="I90" s="541" t="s">
        <v>429</v>
      </c>
      <c r="J90" s="538">
        <v>0</v>
      </c>
      <c r="K90" s="538"/>
      <c r="L90" s="539"/>
      <c r="M90" s="540" t="s">
        <v>430</v>
      </c>
    </row>
    <row r="91" spans="2:13" ht="102" x14ac:dyDescent="0.25">
      <c r="C91" s="534" t="s">
        <v>402</v>
      </c>
      <c r="D91" s="542" t="s">
        <v>310</v>
      </c>
      <c r="E91" s="543" t="s">
        <v>252</v>
      </c>
      <c r="F91" s="535" t="s">
        <v>248</v>
      </c>
      <c r="G91" s="535" t="s">
        <v>311</v>
      </c>
      <c r="H91" s="536">
        <v>2</v>
      </c>
      <c r="I91" s="540" t="s">
        <v>431</v>
      </c>
      <c r="J91" s="544">
        <v>0</v>
      </c>
      <c r="K91" s="538"/>
      <c r="L91" s="545"/>
      <c r="M91" s="540" t="s">
        <v>432</v>
      </c>
    </row>
    <row r="92" spans="2:13" ht="17" x14ac:dyDescent="0.25">
      <c r="C92" s="546" t="s">
        <v>433</v>
      </c>
      <c r="D92" s="547"/>
      <c r="E92" s="548"/>
      <c r="F92" s="548"/>
      <c r="G92" s="548"/>
      <c r="H92" s="549"/>
      <c r="I92" s="550" t="s">
        <v>321</v>
      </c>
      <c r="J92" s="551"/>
      <c r="K92" s="551"/>
      <c r="L92" s="552"/>
      <c r="M92" s="550"/>
    </row>
    <row r="93" spans="2:13" ht="17" x14ac:dyDescent="0.25">
      <c r="C93" s="546" t="s">
        <v>434</v>
      </c>
      <c r="D93" s="548"/>
      <c r="E93" s="548"/>
      <c r="F93" s="548"/>
      <c r="G93" s="548"/>
      <c r="H93" s="549"/>
      <c r="I93" s="550" t="s">
        <v>321</v>
      </c>
      <c r="J93" s="551"/>
      <c r="K93" s="551"/>
      <c r="L93" s="552"/>
      <c r="M93" s="550"/>
    </row>
    <row r="94" spans="2:13" ht="17" x14ac:dyDescent="0.25">
      <c r="C94" s="546" t="s">
        <v>435</v>
      </c>
      <c r="D94" s="548"/>
      <c r="E94" s="548"/>
      <c r="F94" s="548"/>
      <c r="G94" s="548"/>
      <c r="H94" s="549"/>
      <c r="I94" s="553" t="s">
        <v>319</v>
      </c>
      <c r="J94" s="551"/>
      <c r="K94" s="551"/>
      <c r="L94" s="554"/>
      <c r="M94" s="550"/>
    </row>
    <row r="95" spans="2:13" ht="17" x14ac:dyDescent="0.25">
      <c r="C95" s="546" t="s">
        <v>436</v>
      </c>
      <c r="D95" s="548"/>
      <c r="E95" s="548"/>
      <c r="F95" s="548"/>
      <c r="G95" s="548"/>
      <c r="H95" s="549"/>
      <c r="I95" s="553" t="s">
        <v>319</v>
      </c>
      <c r="J95" s="551"/>
      <c r="K95" s="551"/>
      <c r="L95" s="552"/>
      <c r="M95" s="550"/>
    </row>
    <row r="96" spans="2:13" x14ac:dyDescent="0.2">
      <c r="B96" s="228">
        <f>SUM(B75:B78)</f>
        <v>4</v>
      </c>
      <c r="J96" s="443">
        <f>SUM(J75:J78)</f>
        <v>120</v>
      </c>
    </row>
  </sheetData>
  <sheetProtection algorithmName="SHA-512" hashValue="s/PVa6vPyj61uJffZ7VmDC3VvlBzDBUhhS9hSReUzw5HkByjNJbKKDIGtqwC8K7cA6uZSLlHoOS/WYdxbYa/LA==" saltValue="VmDo5RlvJhYk+XuQSxnRQw==" spinCount="100000" sheet="1" objects="1" scenarios="1"/>
  <sortState xmlns:xlrd2="http://schemas.microsoft.com/office/spreadsheetml/2017/richdata2" ref="C21:J24">
    <sortCondition ref="C21:C24"/>
  </sortState>
  <mergeCells count="6">
    <mergeCell ref="J61:J69"/>
    <mergeCell ref="A2:C2"/>
    <mergeCell ref="B4:B6"/>
    <mergeCell ref="B7:B9"/>
    <mergeCell ref="D19:F19"/>
    <mergeCell ref="G19:I19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D03DACA-5D9E-4509-BC06-C663C9B6E048}">
          <x14:formula1>
            <xm:f>'Data Elements'!$A$3:$A$101</xm:f>
          </x14:formula1>
          <xm:sqref>C36</xm:sqref>
        </x14:dataValidation>
        <x14:dataValidation type="list" allowBlank="1" showInputMessage="1" showErrorMessage="1" xr:uid="{E7B923CE-FB99-4250-855B-A6F9DE195435}">
          <x14:formula1>
            <xm:f>'Data Elements'!$F$3:$F$31</xm:f>
          </x14:formula1>
          <xm:sqref>D2</xm:sqref>
        </x14:dataValidation>
        <x14:dataValidation type="list" allowBlank="1" showInputMessage="1" showErrorMessage="1" xr:uid="{71301009-B795-43CB-9258-20EC4BC987D1}">
          <x14:formula1>
            <xm:f>'Data Elements'!$A$3:$A$179</xm:f>
          </x14:formula1>
          <xm:sqref>C26:C35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FE0B9FAE26E74F93075BF0FBC3C6A5" ma:contentTypeVersion="16" ma:contentTypeDescription="Create a new document." ma:contentTypeScope="" ma:versionID="b83ac4a1904d464231192174d0daea42">
  <xsd:schema xmlns:xsd="http://www.w3.org/2001/XMLSchema" xmlns:xs="http://www.w3.org/2001/XMLSchema" xmlns:p="http://schemas.microsoft.com/office/2006/metadata/properties" xmlns:ns1="http://schemas.microsoft.com/sharepoint/v3" xmlns:ns3="f2f86d0b-852b-4b6b-bc3a-688220a1bc1b" xmlns:ns4="a3879ec5-475d-4267-8384-6bef1262dce7" targetNamespace="http://schemas.microsoft.com/office/2006/metadata/properties" ma:root="true" ma:fieldsID="99a8c384a9f17d5068d4fca58baabcb5" ns1:_="" ns3:_="" ns4:_="">
    <xsd:import namespace="http://schemas.microsoft.com/sharepoint/v3"/>
    <xsd:import namespace="f2f86d0b-852b-4b6b-bc3a-688220a1bc1b"/>
    <xsd:import namespace="a3879ec5-475d-4267-8384-6bef1262dc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86d0b-852b-4b6b-bc3a-688220a1bc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79ec5-475d-4267-8384-6bef1262dc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a3879ec5-475d-4267-8384-6bef1262dce7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D43D25-7DE5-4EE8-A59A-D24CF84C4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f86d0b-852b-4b6b-bc3a-688220a1bc1b"/>
    <ds:schemaRef ds:uri="a3879ec5-475d-4267-8384-6bef1262d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5B38B-F0A5-4746-9C6A-6A43B7F13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4AF316-7A22-44CB-8A14-AB270B866C3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3879ec5-475d-4267-8384-6bef1262dc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</vt:i4>
      </vt:variant>
    </vt:vector>
  </HeadingPairs>
  <TitlesOfParts>
    <vt:vector size="39" baseType="lpstr">
      <vt:lpstr>Dashboard</vt:lpstr>
      <vt:lpstr> Dean-Dept Course Reassign Rpt</vt:lpstr>
      <vt:lpstr>External Course Reassign Rpt</vt:lpstr>
      <vt:lpstr>3-3 Load Goal</vt:lpstr>
      <vt:lpstr>Anthropology</vt:lpstr>
      <vt:lpstr>Art</vt:lpstr>
      <vt:lpstr>Biology</vt:lpstr>
      <vt:lpstr>Black Studies</vt:lpstr>
      <vt:lpstr>Chemistry</vt:lpstr>
      <vt:lpstr>Chicano-A Studies</vt:lpstr>
      <vt:lpstr>Communication</vt:lpstr>
      <vt:lpstr>Comp Sci-Mechatronics Eng</vt:lpstr>
      <vt:lpstr>English</vt:lpstr>
      <vt:lpstr>ESRM</vt:lpstr>
      <vt:lpstr>Geology</vt:lpstr>
      <vt:lpstr>Global Languages</vt:lpstr>
      <vt:lpstr>Health Sciences</vt:lpstr>
      <vt:lpstr>Hist</vt:lpstr>
      <vt:lpstr>Math</vt:lpstr>
      <vt:lpstr>Nursing</vt:lpstr>
      <vt:lpstr>Philosophy</vt:lpstr>
      <vt:lpstr>Performing Arts</vt:lpstr>
      <vt:lpstr>Physics</vt:lpstr>
      <vt:lpstr>Political Sci-Glob Studies-MPA</vt:lpstr>
      <vt:lpstr>Psychology</vt:lpstr>
      <vt:lpstr>Sociology</vt:lpstr>
      <vt:lpstr>Overview</vt:lpstr>
      <vt:lpstr>Data Elements</vt:lpstr>
      <vt:lpstr>TTF list</vt:lpstr>
      <vt:lpstr>MPA</vt:lpstr>
      <vt:lpstr>Dance</vt:lpstr>
      <vt:lpstr>Physical Sciences</vt:lpstr>
      <vt:lpstr>Global Studies</vt:lpstr>
      <vt:lpstr>Mechatronics</vt:lpstr>
      <vt:lpstr>Music</vt:lpstr>
      <vt:lpstr>Spanish</vt:lpstr>
      <vt:lpstr>Theater Arts</vt:lpstr>
      <vt:lpstr>Sheet2</vt:lpstr>
      <vt:lpstr>Overview!Print_Area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Mitch Avila</dc:creator>
  <cp:keywords/>
  <dc:description/>
  <cp:lastModifiedBy>Darakjy, Trina</cp:lastModifiedBy>
  <cp:revision/>
  <dcterms:created xsi:type="dcterms:W3CDTF">2020-03-06T18:52:51Z</dcterms:created>
  <dcterms:modified xsi:type="dcterms:W3CDTF">2024-08-23T23:31:19Z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0x010100B7FE0B9FAE26E74F93075BF0FBC3C6A5</vt:lpwstr>
  </property>
  <property fmtid="{D5CDD505-2E9C-101B-9397-08002B2CF9AE}" pid="3" name="MediaServiceImageTags">
    <vt:lpwstr/>
  </property>
</Properties>
</file>